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913"/>
  <workbookPr showInkAnnotation="0" autoCompressPictures="0"/>
  <bookViews>
    <workbookView xWindow="160" yWindow="0" windowWidth="25600" windowHeight="19820" activeTab="1"/>
  </bookViews>
  <sheets>
    <sheet name="convers.+compens." sheetId="1" r:id="rId1"/>
    <sheet name="Recalculate Fibox values" sheetId="2" r:id="rId2"/>
    <sheet name="Tabelle3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45" i="2" l="1"/>
  <c r="Q44" i="2"/>
  <c r="Q46" i="2"/>
  <c r="D15" i="2"/>
  <c r="D13" i="2"/>
  <c r="F15" i="2"/>
  <c r="F14" i="2"/>
  <c r="F13" i="2"/>
  <c r="J16" i="2"/>
  <c r="P21" i="2"/>
  <c r="Q21" i="2"/>
  <c r="R21" i="2"/>
  <c r="S21" i="2"/>
  <c r="B45" i="1"/>
  <c r="B34" i="1"/>
  <c r="B32" i="1"/>
  <c r="B44" i="1"/>
  <c r="B33" i="1"/>
  <c r="B31" i="1"/>
  <c r="B38" i="1"/>
  <c r="D16" i="2"/>
  <c r="D14" i="2"/>
  <c r="J15" i="2"/>
  <c r="B39" i="1"/>
  <c r="B40" i="1"/>
  <c r="H13" i="2"/>
  <c r="I145" i="2"/>
  <c r="I146" i="2"/>
  <c r="I153" i="2"/>
  <c r="I154" i="2"/>
  <c r="I161" i="2"/>
  <c r="I162" i="2"/>
  <c r="I169" i="2"/>
  <c r="I170" i="2"/>
  <c r="I177" i="2"/>
  <c r="I178" i="2"/>
  <c r="I185" i="2"/>
  <c r="I186" i="2"/>
  <c r="I126" i="2"/>
  <c r="I127" i="2"/>
  <c r="I143" i="2"/>
  <c r="I149" i="2"/>
  <c r="I150" i="2"/>
  <c r="I157" i="2"/>
  <c r="I158" i="2"/>
  <c r="I165" i="2"/>
  <c r="I166" i="2"/>
  <c r="I173" i="2"/>
  <c r="I174" i="2"/>
  <c r="I181" i="2"/>
  <c r="I182" i="2"/>
  <c r="I189" i="2"/>
  <c r="I123" i="2"/>
  <c r="I130" i="2"/>
  <c r="I131" i="2"/>
  <c r="I85" i="2"/>
  <c r="I87" i="2"/>
  <c r="I89" i="2"/>
  <c r="I91" i="2"/>
  <c r="I93" i="2"/>
  <c r="I95" i="2"/>
  <c r="I97" i="2"/>
  <c r="I99" i="2"/>
  <c r="I101" i="2"/>
  <c r="I44" i="2"/>
  <c r="I46" i="2"/>
  <c r="I48" i="2"/>
  <c r="I50" i="2"/>
  <c r="I52" i="2"/>
  <c r="I54" i="2"/>
  <c r="I56" i="2"/>
  <c r="I58" i="2"/>
  <c r="I60" i="2"/>
  <c r="I144" i="2"/>
  <c r="I151" i="2"/>
  <c r="I160" i="2"/>
  <c r="I167" i="2"/>
  <c r="I176" i="2"/>
  <c r="I183" i="2"/>
  <c r="I125" i="2"/>
  <c r="I132" i="2"/>
  <c r="I147" i="2"/>
  <c r="I156" i="2"/>
  <c r="I163" i="2"/>
  <c r="I172" i="2"/>
  <c r="I179" i="2"/>
  <c r="I188" i="2"/>
  <c r="I128" i="2"/>
  <c r="I133" i="2"/>
  <c r="I137" i="2"/>
  <c r="I141" i="2"/>
  <c r="I104" i="2"/>
  <c r="I106" i="2"/>
  <c r="I107" i="2"/>
  <c r="I114" i="2"/>
  <c r="I115" i="2"/>
  <c r="I122" i="2"/>
  <c r="I84" i="2"/>
  <c r="I92" i="2"/>
  <c r="I100" i="2"/>
  <c r="I148" i="2"/>
  <c r="I155" i="2"/>
  <c r="I180" i="2"/>
  <c r="I187" i="2"/>
  <c r="I135" i="2"/>
  <c r="I142" i="2"/>
  <c r="I103" i="2"/>
  <c r="I113" i="2"/>
  <c r="I119" i="2"/>
  <c r="I120" i="2"/>
  <c r="I65" i="2"/>
  <c r="I67" i="2"/>
  <c r="I71" i="2"/>
  <c r="I75" i="2"/>
  <c r="I168" i="2"/>
  <c r="I175" i="2"/>
  <c r="I138" i="2"/>
  <c r="I140" i="2"/>
  <c r="I108" i="2"/>
  <c r="I121" i="2"/>
  <c r="I86" i="2"/>
  <c r="I51" i="2"/>
  <c r="I59" i="2"/>
  <c r="I98" i="2"/>
  <c r="I45" i="2"/>
  <c r="I53" i="2"/>
  <c r="I61" i="2"/>
  <c r="I63" i="2"/>
  <c r="I69" i="2"/>
  <c r="I73" i="2"/>
  <c r="I152" i="2"/>
  <c r="I159" i="2"/>
  <c r="I111" i="2"/>
  <c r="I118" i="2"/>
  <c r="I90" i="2"/>
  <c r="I43" i="2"/>
  <c r="I47" i="2"/>
  <c r="I81" i="2"/>
  <c r="I41" i="2"/>
  <c r="I28" i="2"/>
  <c r="I21" i="2"/>
  <c r="I129" i="2"/>
  <c r="I109" i="2"/>
  <c r="I116" i="2"/>
  <c r="I49" i="2"/>
  <c r="I64" i="2"/>
  <c r="I72" i="2"/>
  <c r="I83" i="2"/>
  <c r="I23" i="2"/>
  <c r="I31" i="2"/>
  <c r="I124" i="2"/>
  <c r="I139" i="2"/>
  <c r="I105" i="2"/>
  <c r="I117" i="2"/>
  <c r="I76" i="2"/>
  <c r="I38" i="2"/>
  <c r="I24" i="2"/>
  <c r="I32" i="2"/>
  <c r="I164" i="2"/>
  <c r="I171" i="2"/>
  <c r="I136" i="2"/>
  <c r="I102" i="2"/>
  <c r="I110" i="2"/>
  <c r="I94" i="2"/>
  <c r="I57" i="2"/>
  <c r="I62" i="2"/>
  <c r="I66" i="2"/>
  <c r="I70" i="2"/>
  <c r="I74" i="2"/>
  <c r="I78" i="2"/>
  <c r="I79" i="2"/>
  <c r="I39" i="2"/>
  <c r="I40" i="2"/>
  <c r="I26" i="2"/>
  <c r="I27" i="2"/>
  <c r="I34" i="2"/>
  <c r="I35" i="2"/>
  <c r="H14" i="2"/>
  <c r="I80" i="2"/>
  <c r="I42" i="2"/>
  <c r="I29" i="2"/>
  <c r="I36" i="2"/>
  <c r="I134" i="2"/>
  <c r="I88" i="2"/>
  <c r="I68" i="2"/>
  <c r="I82" i="2"/>
  <c r="I22" i="2"/>
  <c r="I30" i="2"/>
  <c r="I184" i="2"/>
  <c r="I112" i="2"/>
  <c r="I96" i="2"/>
  <c r="I55" i="2"/>
  <c r="I77" i="2"/>
  <c r="I37" i="2"/>
  <c r="I25" i="2"/>
  <c r="I33" i="2"/>
  <c r="B35" i="1"/>
  <c r="B36" i="1"/>
  <c r="B43" i="1"/>
  <c r="B42" i="1"/>
  <c r="J184" i="2"/>
  <c r="M184" i="2"/>
  <c r="N184" i="2"/>
  <c r="K184" i="2"/>
  <c r="L184" i="2"/>
  <c r="M29" i="2"/>
  <c r="N29" i="2"/>
  <c r="J29" i="2"/>
  <c r="K29" i="2"/>
  <c r="L29" i="2"/>
  <c r="K40" i="2"/>
  <c r="L40" i="2"/>
  <c r="J40" i="2"/>
  <c r="M40" i="2"/>
  <c r="N40" i="2"/>
  <c r="K57" i="2"/>
  <c r="L57" i="2"/>
  <c r="J57" i="2"/>
  <c r="M57" i="2"/>
  <c r="N57" i="2"/>
  <c r="J24" i="2"/>
  <c r="M24" i="2"/>
  <c r="N24" i="2"/>
  <c r="K24" i="2"/>
  <c r="L24" i="2"/>
  <c r="K23" i="2"/>
  <c r="L23" i="2"/>
  <c r="M23" i="2"/>
  <c r="N23" i="2"/>
  <c r="J23" i="2"/>
  <c r="J21" i="2"/>
  <c r="K21" i="2"/>
  <c r="L21" i="2"/>
  <c r="M21" i="2"/>
  <c r="N21" i="2"/>
  <c r="K111" i="2"/>
  <c r="L111" i="2"/>
  <c r="M111" i="2"/>
  <c r="N111" i="2"/>
  <c r="J111" i="2"/>
  <c r="K45" i="2"/>
  <c r="L45" i="2"/>
  <c r="M45" i="2"/>
  <c r="N45" i="2"/>
  <c r="J45" i="2"/>
  <c r="J138" i="2"/>
  <c r="K138" i="2"/>
  <c r="L138" i="2"/>
  <c r="M138" i="2"/>
  <c r="N138" i="2"/>
  <c r="K119" i="2"/>
  <c r="L119" i="2"/>
  <c r="M119" i="2"/>
  <c r="N119" i="2"/>
  <c r="J119" i="2"/>
  <c r="M148" i="2"/>
  <c r="N148" i="2"/>
  <c r="J148" i="2"/>
  <c r="K148" i="2"/>
  <c r="L148" i="2"/>
  <c r="J106" i="2"/>
  <c r="M106" i="2"/>
  <c r="N106" i="2"/>
  <c r="K106" i="2"/>
  <c r="L106" i="2"/>
  <c r="M172" i="2"/>
  <c r="N172" i="2"/>
  <c r="J172" i="2"/>
  <c r="K172" i="2"/>
  <c r="L172" i="2"/>
  <c r="J167" i="2"/>
  <c r="K167" i="2"/>
  <c r="L167" i="2"/>
  <c r="M167" i="2"/>
  <c r="N167" i="2"/>
  <c r="M52" i="2"/>
  <c r="N52" i="2"/>
  <c r="J52" i="2"/>
  <c r="K52" i="2"/>
  <c r="L52" i="2"/>
  <c r="M95" i="2"/>
  <c r="N95" i="2"/>
  <c r="K95" i="2"/>
  <c r="L95" i="2"/>
  <c r="J95" i="2"/>
  <c r="K123" i="2"/>
  <c r="L123" i="2"/>
  <c r="J123" i="2"/>
  <c r="M123" i="2"/>
  <c r="N123" i="2"/>
  <c r="K158" i="2"/>
  <c r="L158" i="2"/>
  <c r="J158" i="2"/>
  <c r="M158" i="2"/>
  <c r="N158" i="2"/>
  <c r="J185" i="2"/>
  <c r="M185" i="2"/>
  <c r="N185" i="2"/>
  <c r="K185" i="2"/>
  <c r="L185" i="2"/>
  <c r="J153" i="2"/>
  <c r="M153" i="2"/>
  <c r="N153" i="2"/>
  <c r="K153" i="2"/>
  <c r="L153" i="2"/>
  <c r="K55" i="2"/>
  <c r="L55" i="2"/>
  <c r="M55" i="2"/>
  <c r="N55" i="2"/>
  <c r="J55" i="2"/>
  <c r="K88" i="2"/>
  <c r="L88" i="2"/>
  <c r="M88" i="2"/>
  <c r="N88" i="2"/>
  <c r="J88" i="2"/>
  <c r="J34" i="2"/>
  <c r="K34" i="2"/>
  <c r="L34" i="2"/>
  <c r="M34" i="2"/>
  <c r="N34" i="2"/>
  <c r="J70" i="2"/>
  <c r="K70" i="2"/>
  <c r="L70" i="2"/>
  <c r="M70" i="2"/>
  <c r="N70" i="2"/>
  <c r="J171" i="2"/>
  <c r="M171" i="2"/>
  <c r="N171" i="2"/>
  <c r="K171" i="2"/>
  <c r="L171" i="2"/>
  <c r="J139" i="2"/>
  <c r="M139" i="2"/>
  <c r="N139" i="2"/>
  <c r="K139" i="2"/>
  <c r="L139" i="2"/>
  <c r="J116" i="2"/>
  <c r="M116" i="2"/>
  <c r="N116" i="2"/>
  <c r="K116" i="2"/>
  <c r="L116" i="2"/>
  <c r="K43" i="2"/>
  <c r="L43" i="2"/>
  <c r="M43" i="2"/>
  <c r="N43" i="2"/>
  <c r="J43" i="2"/>
  <c r="M63" i="2"/>
  <c r="N63" i="2"/>
  <c r="K63" i="2"/>
  <c r="L63" i="2"/>
  <c r="J63" i="2"/>
  <c r="J121" i="2"/>
  <c r="K121" i="2"/>
  <c r="L121" i="2"/>
  <c r="M121" i="2"/>
  <c r="N121" i="2"/>
  <c r="M67" i="2"/>
  <c r="N67" i="2"/>
  <c r="K67" i="2"/>
  <c r="L67" i="2"/>
  <c r="J67" i="2"/>
  <c r="J187" i="2"/>
  <c r="M187" i="2"/>
  <c r="N187" i="2"/>
  <c r="K187" i="2"/>
  <c r="L187" i="2"/>
  <c r="K115" i="2"/>
  <c r="L115" i="2"/>
  <c r="J115" i="2"/>
  <c r="M115" i="2"/>
  <c r="N115" i="2"/>
  <c r="J128" i="2"/>
  <c r="M128" i="2"/>
  <c r="N128" i="2"/>
  <c r="K128" i="2"/>
  <c r="L128" i="2"/>
  <c r="J125" i="2"/>
  <c r="M125" i="2"/>
  <c r="N125" i="2"/>
  <c r="K125" i="2"/>
  <c r="L125" i="2"/>
  <c r="M58" i="2"/>
  <c r="N58" i="2"/>
  <c r="J58" i="2"/>
  <c r="K58" i="2"/>
  <c r="L58" i="2"/>
  <c r="M101" i="2"/>
  <c r="N101" i="2"/>
  <c r="K101" i="2"/>
  <c r="L101" i="2"/>
  <c r="J101" i="2"/>
  <c r="M85" i="2"/>
  <c r="N85" i="2"/>
  <c r="J85" i="2"/>
  <c r="K85" i="2"/>
  <c r="L85" i="2"/>
  <c r="J173" i="2"/>
  <c r="M173" i="2"/>
  <c r="N173" i="2"/>
  <c r="K173" i="2"/>
  <c r="L173" i="2"/>
  <c r="K127" i="2"/>
  <c r="L127" i="2"/>
  <c r="J127" i="2"/>
  <c r="M127" i="2"/>
  <c r="N127" i="2"/>
  <c r="K162" i="2"/>
  <c r="L162" i="2"/>
  <c r="J162" i="2"/>
  <c r="M162" i="2"/>
  <c r="N162" i="2"/>
  <c r="K25" i="2"/>
  <c r="L25" i="2"/>
  <c r="J25" i="2"/>
  <c r="M25" i="2"/>
  <c r="N25" i="2"/>
  <c r="J22" i="2"/>
  <c r="M22" i="2"/>
  <c r="N22" i="2"/>
  <c r="K22" i="2"/>
  <c r="L22" i="2"/>
  <c r="J37" i="2"/>
  <c r="M37" i="2"/>
  <c r="N37" i="2"/>
  <c r="K37" i="2"/>
  <c r="L37" i="2"/>
  <c r="J112" i="2"/>
  <c r="K112" i="2"/>
  <c r="L112" i="2"/>
  <c r="M112" i="2"/>
  <c r="N112" i="2"/>
  <c r="J82" i="2"/>
  <c r="M82" i="2"/>
  <c r="N82" i="2"/>
  <c r="K82" i="2"/>
  <c r="L82" i="2"/>
  <c r="J36" i="2"/>
  <c r="K36" i="2"/>
  <c r="L36" i="2"/>
  <c r="M36" i="2"/>
  <c r="N36" i="2"/>
  <c r="J13" i="2"/>
  <c r="J14" i="2"/>
  <c r="J26" i="2"/>
  <c r="M26" i="2"/>
  <c r="N26" i="2"/>
  <c r="K26" i="2"/>
  <c r="L26" i="2"/>
  <c r="J78" i="2"/>
  <c r="K78" i="2"/>
  <c r="L78" i="2"/>
  <c r="M78" i="2"/>
  <c r="N78" i="2"/>
  <c r="K62" i="2"/>
  <c r="L62" i="2"/>
  <c r="J62" i="2"/>
  <c r="M62" i="2"/>
  <c r="N62" i="2"/>
  <c r="J102" i="2"/>
  <c r="M102" i="2"/>
  <c r="N102" i="2"/>
  <c r="K102" i="2"/>
  <c r="L102" i="2"/>
  <c r="J32" i="2"/>
  <c r="M32" i="2"/>
  <c r="N32" i="2"/>
  <c r="K32" i="2"/>
  <c r="L32" i="2"/>
  <c r="M117" i="2"/>
  <c r="N117" i="2"/>
  <c r="K117" i="2"/>
  <c r="L117" i="2"/>
  <c r="J117" i="2"/>
  <c r="K31" i="2"/>
  <c r="L31" i="2"/>
  <c r="M31" i="2"/>
  <c r="N31" i="2"/>
  <c r="J31" i="2"/>
  <c r="J64" i="2"/>
  <c r="K64" i="2"/>
  <c r="L64" i="2"/>
  <c r="M64" i="2"/>
  <c r="N64" i="2"/>
  <c r="M129" i="2"/>
  <c r="N129" i="2"/>
  <c r="J129" i="2"/>
  <c r="K129" i="2"/>
  <c r="L129" i="2"/>
  <c r="J81" i="2"/>
  <c r="K81" i="2"/>
  <c r="L81" i="2"/>
  <c r="M81" i="2"/>
  <c r="N81" i="2"/>
  <c r="J118" i="2"/>
  <c r="M118" i="2"/>
  <c r="N118" i="2"/>
  <c r="K118" i="2"/>
  <c r="L118" i="2"/>
  <c r="M73" i="2"/>
  <c r="N73" i="2"/>
  <c r="J73" i="2"/>
  <c r="K73" i="2"/>
  <c r="L73" i="2"/>
  <c r="K53" i="2"/>
  <c r="L53" i="2"/>
  <c r="M53" i="2"/>
  <c r="N53" i="2"/>
  <c r="J53" i="2"/>
  <c r="K51" i="2"/>
  <c r="L51" i="2"/>
  <c r="J51" i="2"/>
  <c r="M51" i="2"/>
  <c r="N51" i="2"/>
  <c r="J140" i="2"/>
  <c r="K140" i="2"/>
  <c r="L140" i="2"/>
  <c r="M140" i="2"/>
  <c r="N140" i="2"/>
  <c r="K75" i="2"/>
  <c r="L75" i="2"/>
  <c r="M75" i="2"/>
  <c r="N75" i="2"/>
  <c r="J75" i="2"/>
  <c r="J120" i="2"/>
  <c r="K120" i="2"/>
  <c r="L120" i="2"/>
  <c r="M120" i="2"/>
  <c r="N120" i="2"/>
  <c r="J142" i="2"/>
  <c r="K142" i="2"/>
  <c r="L142" i="2"/>
  <c r="M142" i="2"/>
  <c r="N142" i="2"/>
  <c r="J155" i="2"/>
  <c r="M155" i="2"/>
  <c r="N155" i="2"/>
  <c r="K155" i="2"/>
  <c r="L155" i="2"/>
  <c r="K84" i="2"/>
  <c r="L84" i="2"/>
  <c r="M84" i="2"/>
  <c r="N84" i="2"/>
  <c r="J84" i="2"/>
  <c r="J107" i="2"/>
  <c r="M107" i="2"/>
  <c r="N107" i="2"/>
  <c r="K107" i="2"/>
  <c r="L107" i="2"/>
  <c r="J137" i="2"/>
  <c r="K137" i="2"/>
  <c r="L137" i="2"/>
  <c r="M137" i="2"/>
  <c r="N137" i="2"/>
  <c r="J179" i="2"/>
  <c r="M179" i="2"/>
  <c r="N179" i="2"/>
  <c r="K179" i="2"/>
  <c r="L179" i="2"/>
  <c r="J147" i="2"/>
  <c r="M147" i="2"/>
  <c r="N147" i="2"/>
  <c r="K147" i="2"/>
  <c r="L147" i="2"/>
  <c r="J176" i="2"/>
  <c r="M176" i="2"/>
  <c r="N176" i="2"/>
  <c r="K176" i="2"/>
  <c r="L176" i="2"/>
  <c r="J144" i="2"/>
  <c r="M144" i="2"/>
  <c r="N144" i="2"/>
  <c r="K144" i="2"/>
  <c r="L144" i="2"/>
  <c r="M54" i="2"/>
  <c r="N54" i="2"/>
  <c r="J54" i="2"/>
  <c r="K54" i="2"/>
  <c r="L54" i="2"/>
  <c r="M46" i="2"/>
  <c r="N46" i="2"/>
  <c r="K46" i="2"/>
  <c r="L46" i="2"/>
  <c r="J46" i="2"/>
  <c r="M97" i="2"/>
  <c r="N97" i="2"/>
  <c r="K97" i="2"/>
  <c r="L97" i="2"/>
  <c r="J97" i="2"/>
  <c r="M89" i="2"/>
  <c r="N89" i="2"/>
  <c r="K89" i="2"/>
  <c r="L89" i="2"/>
  <c r="J89" i="2"/>
  <c r="J130" i="2"/>
  <c r="K130" i="2"/>
  <c r="L130" i="2"/>
  <c r="M130" i="2"/>
  <c r="N130" i="2"/>
  <c r="J181" i="2"/>
  <c r="K181" i="2"/>
  <c r="L181" i="2"/>
  <c r="M181" i="2"/>
  <c r="N181" i="2"/>
  <c r="J165" i="2"/>
  <c r="K165" i="2"/>
  <c r="L165" i="2"/>
  <c r="M165" i="2"/>
  <c r="N165" i="2"/>
  <c r="J149" i="2"/>
  <c r="K149" i="2"/>
  <c r="L149" i="2"/>
  <c r="M149" i="2"/>
  <c r="N149" i="2"/>
  <c r="K186" i="2"/>
  <c r="L186" i="2"/>
  <c r="M186" i="2"/>
  <c r="N186" i="2"/>
  <c r="J186" i="2"/>
  <c r="K170" i="2"/>
  <c r="L170" i="2"/>
  <c r="M170" i="2"/>
  <c r="N170" i="2"/>
  <c r="J170" i="2"/>
  <c r="K154" i="2"/>
  <c r="L154" i="2"/>
  <c r="M154" i="2"/>
  <c r="N154" i="2"/>
  <c r="J154" i="2"/>
  <c r="K77" i="2"/>
  <c r="L77" i="2"/>
  <c r="M77" i="2"/>
  <c r="N77" i="2"/>
  <c r="J77" i="2"/>
  <c r="K68" i="2"/>
  <c r="L68" i="2"/>
  <c r="J68" i="2"/>
  <c r="M68" i="2"/>
  <c r="N68" i="2"/>
  <c r="M35" i="2"/>
  <c r="N35" i="2"/>
  <c r="J35" i="2"/>
  <c r="K35" i="2"/>
  <c r="L35" i="2"/>
  <c r="J74" i="2"/>
  <c r="K74" i="2"/>
  <c r="L74" i="2"/>
  <c r="M74" i="2"/>
  <c r="N74" i="2"/>
  <c r="J136" i="2"/>
  <c r="M136" i="2"/>
  <c r="N136" i="2"/>
  <c r="K136" i="2"/>
  <c r="L136" i="2"/>
  <c r="J105" i="2"/>
  <c r="M105" i="2"/>
  <c r="N105" i="2"/>
  <c r="K105" i="2"/>
  <c r="L105" i="2"/>
  <c r="K49" i="2"/>
  <c r="L49" i="2"/>
  <c r="J49" i="2"/>
  <c r="M49" i="2"/>
  <c r="N49" i="2"/>
  <c r="K47" i="2"/>
  <c r="L47" i="2"/>
  <c r="M47" i="2"/>
  <c r="N47" i="2"/>
  <c r="J47" i="2"/>
  <c r="M69" i="2"/>
  <c r="N69" i="2"/>
  <c r="J69" i="2"/>
  <c r="K69" i="2"/>
  <c r="L69" i="2"/>
  <c r="K86" i="2"/>
  <c r="L86" i="2"/>
  <c r="M86" i="2"/>
  <c r="N86" i="2"/>
  <c r="J86" i="2"/>
  <c r="M71" i="2"/>
  <c r="N71" i="2"/>
  <c r="J71" i="2"/>
  <c r="K71" i="2"/>
  <c r="L71" i="2"/>
  <c r="J135" i="2"/>
  <c r="M135" i="2"/>
  <c r="N135" i="2"/>
  <c r="K135" i="2"/>
  <c r="L135" i="2"/>
  <c r="J122" i="2"/>
  <c r="K122" i="2"/>
  <c r="L122" i="2"/>
  <c r="M122" i="2"/>
  <c r="N122" i="2"/>
  <c r="J133" i="2"/>
  <c r="K133" i="2"/>
  <c r="L133" i="2"/>
  <c r="M133" i="2"/>
  <c r="N133" i="2"/>
  <c r="J132" i="2"/>
  <c r="M132" i="2"/>
  <c r="N132" i="2"/>
  <c r="K132" i="2"/>
  <c r="L132" i="2"/>
  <c r="M60" i="2"/>
  <c r="N60" i="2"/>
  <c r="J60" i="2"/>
  <c r="K60" i="2"/>
  <c r="L60" i="2"/>
  <c r="M44" i="2"/>
  <c r="N44" i="2"/>
  <c r="K44" i="2"/>
  <c r="L44" i="2"/>
  <c r="J44" i="2"/>
  <c r="M87" i="2"/>
  <c r="N87" i="2"/>
  <c r="K87" i="2"/>
  <c r="L87" i="2"/>
  <c r="J87" i="2"/>
  <c r="K174" i="2"/>
  <c r="L174" i="2"/>
  <c r="J174" i="2"/>
  <c r="M174" i="2"/>
  <c r="N174" i="2"/>
  <c r="K143" i="2"/>
  <c r="L143" i="2"/>
  <c r="M143" i="2"/>
  <c r="N143" i="2"/>
  <c r="J143" i="2"/>
  <c r="J169" i="2"/>
  <c r="K169" i="2"/>
  <c r="L169" i="2"/>
  <c r="M169" i="2"/>
  <c r="N169" i="2"/>
  <c r="J33" i="2"/>
  <c r="K33" i="2"/>
  <c r="L33" i="2"/>
  <c r="M33" i="2"/>
  <c r="N33" i="2"/>
  <c r="J30" i="2"/>
  <c r="M30" i="2"/>
  <c r="N30" i="2"/>
  <c r="K30" i="2"/>
  <c r="L30" i="2"/>
  <c r="J42" i="2"/>
  <c r="M42" i="2"/>
  <c r="N42" i="2"/>
  <c r="K42" i="2"/>
  <c r="L42" i="2"/>
  <c r="J39" i="2"/>
  <c r="K39" i="2"/>
  <c r="L39" i="2"/>
  <c r="M39" i="2"/>
  <c r="N39" i="2"/>
  <c r="K94" i="2"/>
  <c r="L94" i="2"/>
  <c r="M94" i="2"/>
  <c r="N94" i="2"/>
  <c r="J94" i="2"/>
  <c r="J38" i="2"/>
  <c r="K38" i="2"/>
  <c r="L38" i="2"/>
  <c r="M38" i="2"/>
  <c r="N38" i="2"/>
  <c r="M83" i="2"/>
  <c r="N83" i="2"/>
  <c r="J83" i="2"/>
  <c r="K83" i="2"/>
  <c r="L83" i="2"/>
  <c r="J28" i="2"/>
  <c r="K28" i="2"/>
  <c r="L28" i="2"/>
  <c r="M28" i="2"/>
  <c r="N28" i="2"/>
  <c r="J159" i="2"/>
  <c r="K159" i="2"/>
  <c r="L159" i="2"/>
  <c r="M159" i="2"/>
  <c r="N159" i="2"/>
  <c r="K98" i="2"/>
  <c r="L98" i="2"/>
  <c r="J98" i="2"/>
  <c r="M98" i="2"/>
  <c r="N98" i="2"/>
  <c r="J175" i="2"/>
  <c r="K175" i="2"/>
  <c r="L175" i="2"/>
  <c r="M175" i="2"/>
  <c r="N175" i="2"/>
  <c r="J113" i="2"/>
  <c r="K113" i="2"/>
  <c r="L113" i="2"/>
  <c r="M113" i="2"/>
  <c r="N113" i="2"/>
  <c r="K100" i="2"/>
  <c r="L100" i="2"/>
  <c r="J100" i="2"/>
  <c r="M100" i="2"/>
  <c r="N100" i="2"/>
  <c r="J104" i="2"/>
  <c r="M104" i="2"/>
  <c r="N104" i="2"/>
  <c r="K104" i="2"/>
  <c r="L104" i="2"/>
  <c r="J163" i="2"/>
  <c r="M163" i="2"/>
  <c r="N163" i="2"/>
  <c r="K163" i="2"/>
  <c r="L163" i="2"/>
  <c r="J160" i="2"/>
  <c r="M160" i="2"/>
  <c r="N160" i="2"/>
  <c r="K160" i="2"/>
  <c r="L160" i="2"/>
  <c r="M50" i="2"/>
  <c r="N50" i="2"/>
  <c r="K50" i="2"/>
  <c r="L50" i="2"/>
  <c r="J50" i="2"/>
  <c r="M93" i="2"/>
  <c r="N93" i="2"/>
  <c r="K93" i="2"/>
  <c r="L93" i="2"/>
  <c r="J93" i="2"/>
  <c r="J189" i="2"/>
  <c r="M189" i="2"/>
  <c r="N189" i="2"/>
  <c r="K189" i="2"/>
  <c r="L189" i="2"/>
  <c r="J157" i="2"/>
  <c r="M157" i="2"/>
  <c r="N157" i="2"/>
  <c r="K157" i="2"/>
  <c r="L157" i="2"/>
  <c r="K178" i="2"/>
  <c r="L178" i="2"/>
  <c r="M178" i="2"/>
  <c r="N178" i="2"/>
  <c r="J178" i="2"/>
  <c r="K146" i="2"/>
  <c r="L146" i="2"/>
  <c r="M146" i="2"/>
  <c r="N146" i="2"/>
  <c r="J146" i="2"/>
  <c r="K96" i="2"/>
  <c r="L96" i="2"/>
  <c r="M96" i="2"/>
  <c r="N96" i="2"/>
  <c r="J96" i="2"/>
  <c r="J134" i="2"/>
  <c r="K134" i="2"/>
  <c r="L134" i="2"/>
  <c r="M134" i="2"/>
  <c r="N134" i="2"/>
  <c r="J80" i="2"/>
  <c r="M80" i="2"/>
  <c r="N80" i="2"/>
  <c r="K80" i="2"/>
  <c r="L80" i="2"/>
  <c r="J27" i="2"/>
  <c r="K27" i="2"/>
  <c r="L27" i="2"/>
  <c r="M27" i="2"/>
  <c r="N27" i="2"/>
  <c r="J79" i="2"/>
  <c r="K79" i="2"/>
  <c r="L79" i="2"/>
  <c r="M79" i="2"/>
  <c r="N79" i="2"/>
  <c r="J66" i="2"/>
  <c r="K66" i="2"/>
  <c r="L66" i="2"/>
  <c r="M66" i="2"/>
  <c r="N66" i="2"/>
  <c r="J110" i="2"/>
  <c r="M110" i="2"/>
  <c r="N110" i="2"/>
  <c r="K110" i="2"/>
  <c r="L110" i="2"/>
  <c r="M164" i="2"/>
  <c r="N164" i="2"/>
  <c r="J164" i="2"/>
  <c r="K164" i="2"/>
  <c r="L164" i="2"/>
  <c r="J76" i="2"/>
  <c r="K76" i="2"/>
  <c r="L76" i="2"/>
  <c r="M76" i="2"/>
  <c r="N76" i="2"/>
  <c r="J124" i="2"/>
  <c r="K124" i="2"/>
  <c r="L124" i="2"/>
  <c r="M124" i="2"/>
  <c r="N124" i="2"/>
  <c r="K72" i="2"/>
  <c r="L72" i="2"/>
  <c r="J72" i="2"/>
  <c r="M72" i="2"/>
  <c r="N72" i="2"/>
  <c r="M109" i="2"/>
  <c r="N109" i="2"/>
  <c r="K109" i="2"/>
  <c r="L109" i="2"/>
  <c r="J109" i="2"/>
  <c r="J41" i="2"/>
  <c r="M41" i="2"/>
  <c r="N41" i="2"/>
  <c r="K41" i="2"/>
  <c r="L41" i="2"/>
  <c r="K90" i="2"/>
  <c r="L90" i="2"/>
  <c r="J90" i="2"/>
  <c r="M90" i="2"/>
  <c r="N90" i="2"/>
  <c r="J152" i="2"/>
  <c r="M152" i="2"/>
  <c r="N152" i="2"/>
  <c r="K152" i="2"/>
  <c r="L152" i="2"/>
  <c r="M61" i="2"/>
  <c r="N61" i="2"/>
  <c r="J61" i="2"/>
  <c r="K61" i="2"/>
  <c r="L61" i="2"/>
  <c r="K59" i="2"/>
  <c r="L59" i="2"/>
  <c r="J59" i="2"/>
  <c r="M59" i="2"/>
  <c r="N59" i="2"/>
  <c r="J108" i="2"/>
  <c r="M108" i="2"/>
  <c r="N108" i="2"/>
  <c r="K108" i="2"/>
  <c r="L108" i="2"/>
  <c r="J168" i="2"/>
  <c r="M168" i="2"/>
  <c r="N168" i="2"/>
  <c r="K168" i="2"/>
  <c r="L168" i="2"/>
  <c r="M65" i="2"/>
  <c r="N65" i="2"/>
  <c r="J65" i="2"/>
  <c r="K65" i="2"/>
  <c r="L65" i="2"/>
  <c r="J103" i="2"/>
  <c r="K103" i="2"/>
  <c r="L103" i="2"/>
  <c r="M103" i="2"/>
  <c r="N103" i="2"/>
  <c r="M180" i="2"/>
  <c r="N180" i="2"/>
  <c r="J180" i="2"/>
  <c r="K180" i="2"/>
  <c r="L180" i="2"/>
  <c r="K92" i="2"/>
  <c r="L92" i="2"/>
  <c r="J92" i="2"/>
  <c r="M92" i="2"/>
  <c r="N92" i="2"/>
  <c r="J114" i="2"/>
  <c r="K114" i="2"/>
  <c r="L114" i="2"/>
  <c r="M114" i="2"/>
  <c r="N114" i="2"/>
  <c r="J141" i="2"/>
  <c r="M141" i="2"/>
  <c r="N141" i="2"/>
  <c r="K141" i="2"/>
  <c r="L141" i="2"/>
  <c r="M188" i="2"/>
  <c r="N188" i="2"/>
  <c r="J188" i="2"/>
  <c r="K188" i="2"/>
  <c r="L188" i="2"/>
  <c r="M156" i="2"/>
  <c r="N156" i="2"/>
  <c r="J156" i="2"/>
  <c r="K156" i="2"/>
  <c r="L156" i="2"/>
  <c r="J183" i="2"/>
  <c r="K183" i="2"/>
  <c r="L183" i="2"/>
  <c r="M183" i="2"/>
  <c r="N183" i="2"/>
  <c r="J151" i="2"/>
  <c r="K151" i="2"/>
  <c r="L151" i="2"/>
  <c r="M151" i="2"/>
  <c r="N151" i="2"/>
  <c r="M56" i="2"/>
  <c r="N56" i="2"/>
  <c r="K56" i="2"/>
  <c r="L56" i="2"/>
  <c r="J56" i="2"/>
  <c r="M48" i="2"/>
  <c r="N48" i="2"/>
  <c r="K48" i="2"/>
  <c r="L48" i="2"/>
  <c r="J48" i="2"/>
  <c r="M99" i="2"/>
  <c r="N99" i="2"/>
  <c r="J99" i="2"/>
  <c r="K99" i="2"/>
  <c r="L99" i="2"/>
  <c r="M91" i="2"/>
  <c r="N91" i="2"/>
  <c r="J91" i="2"/>
  <c r="K91" i="2"/>
  <c r="L91" i="2"/>
  <c r="K131" i="2"/>
  <c r="L131" i="2"/>
  <c r="M131" i="2"/>
  <c r="N131" i="2"/>
  <c r="J131" i="2"/>
  <c r="K182" i="2"/>
  <c r="L182" i="2"/>
  <c r="M182" i="2"/>
  <c r="N182" i="2"/>
  <c r="J182" i="2"/>
  <c r="K166" i="2"/>
  <c r="L166" i="2"/>
  <c r="M166" i="2"/>
  <c r="N166" i="2"/>
  <c r="J166" i="2"/>
  <c r="K150" i="2"/>
  <c r="L150" i="2"/>
  <c r="M150" i="2"/>
  <c r="N150" i="2"/>
  <c r="J150" i="2"/>
  <c r="J126" i="2"/>
  <c r="M126" i="2"/>
  <c r="N126" i="2"/>
  <c r="K126" i="2"/>
  <c r="L126" i="2"/>
  <c r="J177" i="2"/>
  <c r="M177" i="2"/>
  <c r="N177" i="2"/>
  <c r="K177" i="2"/>
  <c r="L177" i="2"/>
  <c r="J161" i="2"/>
  <c r="M161" i="2"/>
  <c r="N161" i="2"/>
  <c r="K161" i="2"/>
  <c r="L161" i="2"/>
  <c r="J145" i="2"/>
  <c r="M145" i="2"/>
  <c r="N145" i="2"/>
  <c r="K145" i="2"/>
  <c r="L145" i="2"/>
  <c r="B18" i="1"/>
  <c r="B19" i="1"/>
  <c r="B20" i="1"/>
  <c r="B21" i="1"/>
  <c r="B22" i="1"/>
  <c r="B24" i="1"/>
  <c r="B23" i="1"/>
</calcChain>
</file>

<file path=xl/sharedStrings.xml><?xml version="1.0" encoding="utf-8"?>
<sst xmlns="http://schemas.openxmlformats.org/spreadsheetml/2006/main" count="291" uniqueCount="264">
  <si>
    <t>author: Dr. Christian Huber</t>
  </si>
  <si>
    <t>Fit of the calibration curve is optimized between 0 and 250 % air-saturation (0 and 388 Torr)</t>
  </si>
  <si>
    <t>enter your values here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</si>
  <si>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0,T0</t>
    </r>
  </si>
  <si>
    <t xml:space="preserve">phase angle of cal 0 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</si>
  <si>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100,T100</t>
    </r>
  </si>
  <si>
    <t>phase angle of cal 100 (water-vapor saturated air)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</si>
  <si>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m,Tm</t>
    </r>
  </si>
  <si>
    <t>measured phase angle</t>
  </si>
  <si>
    <r>
      <t>input of T</t>
    </r>
    <r>
      <rPr>
        <vertAlign val="subscript"/>
        <sz val="10"/>
        <rFont val="Arial"/>
        <family val="2"/>
      </rPr>
      <t>0</t>
    </r>
  </si>
  <si>
    <t xml:space="preserve">temperature of cal 0 </t>
  </si>
  <si>
    <r>
      <t>input of  T</t>
    </r>
    <r>
      <rPr>
        <vertAlign val="subscript"/>
        <sz val="10"/>
        <rFont val="Arial"/>
        <family val="2"/>
      </rPr>
      <t>100</t>
    </r>
  </si>
  <si>
    <t>temperatur of cal100</t>
  </si>
  <si>
    <r>
      <t>input of T</t>
    </r>
    <r>
      <rPr>
        <vertAlign val="subscript"/>
        <sz val="10"/>
        <rFont val="Arial"/>
        <family val="2"/>
      </rPr>
      <t>m</t>
    </r>
  </si>
  <si>
    <t>temperature at measurement</t>
  </si>
  <si>
    <r>
      <t>air pressure p</t>
    </r>
    <r>
      <rPr>
        <vertAlign val="subscript"/>
        <sz val="10"/>
        <rFont val="Arial"/>
        <family val="2"/>
      </rPr>
      <t>atm</t>
    </r>
  </si>
  <si>
    <t>air pressure</t>
  </si>
  <si>
    <t>Results of calculation + compensation</t>
  </si>
  <si>
    <t>[%] air saturation</t>
  </si>
  <si>
    <t>%</t>
  </si>
  <si>
    <r>
      <t>[%] O</t>
    </r>
    <r>
      <rPr>
        <b/>
        <vertAlign val="subscript"/>
        <sz val="14"/>
        <rFont val="Arial"/>
        <family val="2"/>
      </rPr>
      <t>2</t>
    </r>
  </si>
  <si>
    <r>
      <t>pO</t>
    </r>
    <r>
      <rPr>
        <b/>
        <vertAlign val="subscript"/>
        <sz val="14"/>
        <rFont val="Arial"/>
        <family val="2"/>
      </rPr>
      <t xml:space="preserve">2 </t>
    </r>
    <r>
      <rPr>
        <b/>
        <sz val="14"/>
        <rFont val="Arial"/>
        <family val="2"/>
      </rPr>
      <t>[hPa]</t>
    </r>
  </si>
  <si>
    <t>hPa</t>
  </si>
  <si>
    <r>
      <t>pO</t>
    </r>
    <r>
      <rPr>
        <b/>
        <vertAlign val="subscript"/>
        <sz val="14"/>
        <rFont val="Arial"/>
        <family val="2"/>
      </rPr>
      <t xml:space="preserve">2 </t>
    </r>
    <r>
      <rPr>
        <b/>
        <sz val="14"/>
        <rFont val="Arial"/>
        <family val="2"/>
      </rPr>
      <t>[Torr]</t>
    </r>
  </si>
  <si>
    <t>Torr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</si>
  <si>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[mg/L]</t>
    </r>
  </si>
  <si>
    <t>mg/L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</si>
  <si>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[ppm]</t>
    </r>
  </si>
  <si>
    <t>ppm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</si>
  <si>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[µmol/L]</t>
    </r>
  </si>
  <si>
    <t>µmol/L</t>
  </si>
  <si>
    <t>Internal calculated parameter (DO NOT CHANGE !!)</t>
  </si>
  <si>
    <t>f1</t>
  </si>
  <si>
    <r>
      <t>DF</t>
    </r>
    <r>
      <rPr>
        <b/>
        <sz val="10"/>
        <rFont val="Arial"/>
        <family val="2"/>
      </rPr>
      <t>/K</t>
    </r>
  </si>
  <si>
    <r>
      <t>D</t>
    </r>
    <r>
      <rPr>
        <b/>
        <sz val="10"/>
        <rFont val="Arial"/>
        <family val="2"/>
      </rPr>
      <t>K</t>
    </r>
    <r>
      <rPr>
        <b/>
        <vertAlign val="subscript"/>
        <sz val="10"/>
        <rFont val="Arial"/>
        <family val="2"/>
      </rPr>
      <t>SV</t>
    </r>
    <r>
      <rPr>
        <b/>
        <sz val="10"/>
        <rFont val="Arial"/>
        <family val="2"/>
      </rPr>
      <t>/K</t>
    </r>
  </si>
  <si>
    <t>m</t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</si>
  <si>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0,T100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</si>
  <si>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0,Tm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</si>
  <si>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100,T100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</si>
  <si>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m,Tm</t>
    </r>
    <r>
      <rPr>
        <b/>
        <sz val="10"/>
        <rFont val="Arial"/>
        <family val="2"/>
      </rPr>
      <t>)</t>
    </r>
  </si>
  <si>
    <r>
      <t>K</t>
    </r>
    <r>
      <rPr>
        <b/>
        <vertAlign val="subscript"/>
        <sz val="10"/>
        <rFont val="Arial"/>
        <family val="2"/>
      </rPr>
      <t>SV,T100</t>
    </r>
  </si>
  <si>
    <r>
      <t>K</t>
    </r>
    <r>
      <rPr>
        <b/>
        <vertAlign val="subscript"/>
        <sz val="10"/>
        <rFont val="Arial"/>
        <family val="2"/>
      </rPr>
      <t>SV</t>
    </r>
    <r>
      <rPr>
        <b/>
        <sz val="10"/>
        <rFont val="Arial"/>
        <family val="2"/>
      </rPr>
      <t>,T</t>
    </r>
    <r>
      <rPr>
        <b/>
        <vertAlign val="subscript"/>
        <sz val="10"/>
        <rFont val="Arial"/>
        <family val="2"/>
      </rPr>
      <t>m</t>
    </r>
  </si>
  <si>
    <t>A</t>
  </si>
  <si>
    <t>B</t>
  </si>
  <si>
    <t>C</t>
  </si>
  <si>
    <t>a</t>
  </si>
  <si>
    <t>b</t>
  </si>
  <si>
    <t>c</t>
  </si>
  <si>
    <t>Insert your calibration values</t>
  </si>
  <si>
    <t>cal0</t>
  </si>
  <si>
    <t>°</t>
  </si>
  <si>
    <t>T0</t>
  </si>
  <si>
    <t>°C</t>
  </si>
  <si>
    <t>cal100</t>
  </si>
  <si>
    <t>T100</t>
  </si>
  <si>
    <t xml:space="preserve">air pressure </t>
  </si>
  <si>
    <t>mbar</t>
  </si>
  <si>
    <t>date</t>
  </si>
  <si>
    <t xml:space="preserve"> time/hh:mm:ss</t>
  </si>
  <si>
    <t xml:space="preserve"> logtime/min</t>
  </si>
  <si>
    <t xml:space="preserve"> oxygen/% airsatur.</t>
  </si>
  <si>
    <t xml:space="preserve"> amp</t>
  </si>
  <si>
    <t>% air-sat.</t>
  </si>
  <si>
    <t>% oxygen</t>
  </si>
  <si>
    <t>pO2 (hPa)</t>
  </si>
  <si>
    <t>pO2 (Torr)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</si>
  <si>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[mg/L]</t>
    </r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</si>
  <si>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[µmol/L]</t>
    </r>
  </si>
  <si>
    <t>Salinity</t>
  </si>
  <si>
    <t>Chlorinity</t>
  </si>
  <si>
    <r>
      <t>°/</t>
    </r>
    <r>
      <rPr>
        <b/>
        <vertAlign val="subscript"/>
        <sz val="10"/>
        <rFont val="Arial"/>
        <family val="2"/>
      </rPr>
      <t>°°</t>
    </r>
  </si>
  <si>
    <t>The oxygen contents are calculated automatically from the raw data</t>
  </si>
  <si>
    <t>file name: PSt1_Eq4_Sal</t>
  </si>
  <si>
    <t>programm for temperature compensated oxygen calculation of membrane PSt1</t>
  </si>
  <si>
    <t xml:space="preserve">Insert the data you get from the Ascii File recorded with the OxyView TX3-V5.31.exe software </t>
  </si>
  <si>
    <t xml:space="preserve"> phase/°</t>
  </si>
  <si>
    <t xml:space="preserve"> temp/°C</t>
  </si>
  <si>
    <t>chamber volume [L]</t>
  </si>
  <si>
    <t>INSERT YOUR RESPECTIVE DATA</t>
  </si>
  <si>
    <t>T11</t>
  </si>
  <si>
    <t>T1</t>
  </si>
  <si>
    <t>regression formula</t>
  </si>
  <si>
    <t>time</t>
  </si>
  <si>
    <t>value for T=1 min.</t>
  </si>
  <si>
    <t>change data input according to column N</t>
  </si>
  <si>
    <t>calculate from regression curve values for 10 minutes of photosynthesis or respiration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</si>
  <si>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 h]</t>
    </r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</si>
  <si>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 h]</t>
    </r>
  </si>
  <si>
    <t>value for T=26 min.</t>
  </si>
  <si>
    <t>difference between T25 and T1</t>
  </si>
  <si>
    <t>10minutes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</si>
  <si>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 10 min]</t>
    </r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</si>
  <si>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 h gFW]</t>
    </r>
  </si>
  <si>
    <t xml:space="preserve">   15:37:12</t>
  </si>
  <si>
    <t xml:space="preserve">   15:37:24</t>
  </si>
  <si>
    <t xml:space="preserve">   15:37:34</t>
  </si>
  <si>
    <t xml:space="preserve">   15:37:44</t>
  </si>
  <si>
    <t xml:space="preserve">   15:37:54</t>
  </si>
  <si>
    <t xml:space="preserve">   15:38:04</t>
  </si>
  <si>
    <t xml:space="preserve">   15:38:14</t>
  </si>
  <si>
    <t xml:space="preserve">   15:38:24</t>
  </si>
  <si>
    <t xml:space="preserve">   15:38:34</t>
  </si>
  <si>
    <t xml:space="preserve">   15:38:44</t>
  </si>
  <si>
    <t xml:space="preserve">   15:38:54</t>
  </si>
  <si>
    <t xml:space="preserve">   15:39:04</t>
  </si>
  <si>
    <t xml:space="preserve">   15:39:14</t>
  </si>
  <si>
    <t xml:space="preserve">   15:39:24</t>
  </si>
  <si>
    <t xml:space="preserve">   15:39:34</t>
  </si>
  <si>
    <t xml:space="preserve">   15:39:44</t>
  </si>
  <si>
    <t xml:space="preserve">   15:39:54</t>
  </si>
  <si>
    <t xml:space="preserve">   15:40:04</t>
  </si>
  <si>
    <t xml:space="preserve">   15:40:14</t>
  </si>
  <si>
    <t xml:space="preserve">   15:40:24</t>
  </si>
  <si>
    <t xml:space="preserve">   15:40:34</t>
  </si>
  <si>
    <t xml:space="preserve">   15:40:44</t>
  </si>
  <si>
    <t xml:space="preserve">   15:40:54</t>
  </si>
  <si>
    <t xml:space="preserve">   15:41:04</t>
  </si>
  <si>
    <t xml:space="preserve">   15:41:14</t>
  </si>
  <si>
    <t xml:space="preserve">   15:41:24</t>
  </si>
  <si>
    <t xml:space="preserve">   15:41:34</t>
  </si>
  <si>
    <t xml:space="preserve">   15:41:44</t>
  </si>
  <si>
    <t xml:space="preserve">   15:41:54</t>
  </si>
  <si>
    <t xml:space="preserve">   15:42:04</t>
  </si>
  <si>
    <t xml:space="preserve">   15:42:14</t>
  </si>
  <si>
    <t xml:space="preserve">   15:42:24</t>
  </si>
  <si>
    <t xml:space="preserve">   15:42:34</t>
  </si>
  <si>
    <t xml:space="preserve">   15:42:44</t>
  </si>
  <si>
    <t xml:space="preserve">   15:42:54</t>
  </si>
  <si>
    <t xml:space="preserve">   15:43:04</t>
  </si>
  <si>
    <t xml:space="preserve">   15:43:14</t>
  </si>
  <si>
    <t xml:space="preserve">   15:43:24</t>
  </si>
  <si>
    <t xml:space="preserve">   15:43:34</t>
  </si>
  <si>
    <t xml:space="preserve">   15:43:44</t>
  </si>
  <si>
    <t xml:space="preserve">   15:43:54</t>
  </si>
  <si>
    <t xml:space="preserve">   15:44:03</t>
  </si>
  <si>
    <t xml:space="preserve">   15:44:13</t>
  </si>
  <si>
    <t xml:space="preserve">   15:44:23</t>
  </si>
  <si>
    <t xml:space="preserve">   15:44:33</t>
  </si>
  <si>
    <t xml:space="preserve">   15:44:43</t>
  </si>
  <si>
    <t xml:space="preserve">   15:44:53</t>
  </si>
  <si>
    <t xml:space="preserve">   15:45:03</t>
  </si>
  <si>
    <t xml:space="preserve">   15:45:13</t>
  </si>
  <si>
    <t xml:space="preserve">   15:45:23</t>
  </si>
  <si>
    <t xml:space="preserve">   15:45:33</t>
  </si>
  <si>
    <t xml:space="preserve">   15:45:43</t>
  </si>
  <si>
    <t xml:space="preserve">   15:45:53</t>
  </si>
  <si>
    <t xml:space="preserve">   15:46:03</t>
  </si>
  <si>
    <t xml:space="preserve">   15:46:13</t>
  </si>
  <si>
    <t xml:space="preserve">   15:46:23</t>
  </si>
  <si>
    <t xml:space="preserve">   15:46:33</t>
  </si>
  <si>
    <t xml:space="preserve">   15:46:43</t>
  </si>
  <si>
    <t xml:space="preserve">   15:46:54</t>
  </si>
  <si>
    <t xml:space="preserve">   15:47:04</t>
  </si>
  <si>
    <t xml:space="preserve">   15:47:14</t>
  </si>
  <si>
    <t xml:space="preserve">   15:47:24</t>
  </si>
  <si>
    <t xml:space="preserve">   15:47:34</t>
  </si>
  <si>
    <t xml:space="preserve">   15:47:44</t>
  </si>
  <si>
    <t xml:space="preserve">   15:47:54</t>
  </si>
  <si>
    <t xml:space="preserve">   15:48:04</t>
  </si>
  <si>
    <t xml:space="preserve">   15:48:14</t>
  </si>
  <si>
    <t xml:space="preserve">   15:48:24</t>
  </si>
  <si>
    <t xml:space="preserve">   15:48:34</t>
  </si>
  <si>
    <t xml:space="preserve">   15:48:44</t>
  </si>
  <si>
    <t xml:space="preserve">   15:48:54</t>
  </si>
  <si>
    <t xml:space="preserve">   15:49:04</t>
  </si>
  <si>
    <t xml:space="preserve">   15:49:14</t>
  </si>
  <si>
    <t xml:space="preserve">   15:49:24</t>
  </si>
  <si>
    <t xml:space="preserve">   15:49:34</t>
  </si>
  <si>
    <t xml:space="preserve">   15:49:44</t>
  </si>
  <si>
    <t xml:space="preserve">   15:49:54</t>
  </si>
  <si>
    <t xml:space="preserve">   15:50:04</t>
  </si>
  <si>
    <t xml:space="preserve">   15:50:14</t>
  </si>
  <si>
    <t xml:space="preserve">   15:50:24</t>
  </si>
  <si>
    <t xml:space="preserve">   15:50:34</t>
  </si>
  <si>
    <t xml:space="preserve">   15:50:44</t>
  </si>
  <si>
    <t xml:space="preserve">   15:50:54</t>
  </si>
  <si>
    <t xml:space="preserve">   15:51:04</t>
  </si>
  <si>
    <t xml:space="preserve">   15:51:14</t>
  </si>
  <si>
    <t xml:space="preserve">   15:51:24</t>
  </si>
  <si>
    <t xml:space="preserve">   15:51:34</t>
  </si>
  <si>
    <t xml:space="preserve">   15:51:44</t>
  </si>
  <si>
    <t xml:space="preserve">   15:51:54</t>
  </si>
  <si>
    <t xml:space="preserve">   15:52:04</t>
  </si>
  <si>
    <t xml:space="preserve">   15:52:14</t>
  </si>
  <si>
    <t xml:space="preserve">   15:52:24</t>
  </si>
  <si>
    <t xml:space="preserve">   15:52:34</t>
  </si>
  <si>
    <t xml:space="preserve">   15:52:44</t>
  </si>
  <si>
    <t xml:space="preserve">   15:52:54</t>
  </si>
  <si>
    <t xml:space="preserve">   15:53:04</t>
  </si>
  <si>
    <t xml:space="preserve">   15:53:14</t>
  </si>
  <si>
    <t xml:space="preserve">   15:53:24</t>
  </si>
  <si>
    <t xml:space="preserve">   15:53:34</t>
  </si>
  <si>
    <t xml:space="preserve">   15:53:44</t>
  </si>
  <si>
    <t xml:space="preserve">   15:53:54</t>
  </si>
  <si>
    <t xml:space="preserve">   15:54:04</t>
  </si>
  <si>
    <t xml:space="preserve">   15:54:14</t>
  </si>
  <si>
    <t xml:space="preserve">   15:54:24</t>
  </si>
  <si>
    <t xml:space="preserve">   15:54:34</t>
  </si>
  <si>
    <t xml:space="preserve">   15:54:44</t>
  </si>
  <si>
    <t xml:space="preserve">   15:54:54</t>
  </si>
  <si>
    <t xml:space="preserve">   15:55:04</t>
  </si>
  <si>
    <t xml:space="preserve">   15:55:14</t>
  </si>
  <si>
    <t xml:space="preserve">   15:55:24</t>
  </si>
  <si>
    <t xml:space="preserve">   15:55:34</t>
  </si>
  <si>
    <t xml:space="preserve">   15:55:43</t>
  </si>
  <si>
    <t xml:space="preserve">   15:55:53</t>
  </si>
  <si>
    <t xml:space="preserve">   15:56:03</t>
  </si>
  <si>
    <t xml:space="preserve">   15:56:13</t>
  </si>
  <si>
    <t xml:space="preserve">   15:56:23</t>
  </si>
  <si>
    <t xml:space="preserve">   15:56:33</t>
  </si>
  <si>
    <t xml:space="preserve">   15:56:43</t>
  </si>
  <si>
    <t xml:space="preserve">   15:56:53</t>
  </si>
  <si>
    <t xml:space="preserve">   15:57:03</t>
  </si>
  <si>
    <t xml:space="preserve">   15:57:13</t>
  </si>
  <si>
    <t xml:space="preserve">   15:57:23</t>
  </si>
  <si>
    <t xml:space="preserve">   15:57:33</t>
  </si>
  <si>
    <t xml:space="preserve">   15:57:43</t>
  </si>
  <si>
    <t xml:space="preserve">   15:57:53</t>
  </si>
  <si>
    <t xml:space="preserve">   15:58:03</t>
  </si>
  <si>
    <t xml:space="preserve">   15:58:13</t>
  </si>
  <si>
    <t xml:space="preserve">   15:58:24</t>
  </si>
  <si>
    <t xml:space="preserve">   15:58:34</t>
  </si>
  <si>
    <t xml:space="preserve">   15:58:44</t>
  </si>
  <si>
    <t xml:space="preserve">   15:58:54</t>
  </si>
  <si>
    <t xml:space="preserve">   15:59:04</t>
  </si>
  <si>
    <t xml:space="preserve">   15:59:14</t>
  </si>
  <si>
    <t xml:space="preserve">   15:59:24</t>
  </si>
  <si>
    <t xml:space="preserve">   15:59:34</t>
  </si>
  <si>
    <t xml:space="preserve">   15:59:44</t>
  </si>
  <si>
    <t xml:space="preserve">   15:59:54</t>
  </si>
  <si>
    <t xml:space="preserve">   16:00:04</t>
  </si>
  <si>
    <t xml:space="preserve">   16:00:14</t>
  </si>
  <si>
    <t xml:space="preserve">   16:00:24</t>
  </si>
  <si>
    <t xml:space="preserve">   16:00:34</t>
  </si>
  <si>
    <t xml:space="preserve">   16:00:44</t>
  </si>
  <si>
    <t xml:space="preserve">   16:00:54</t>
  </si>
  <si>
    <t xml:space="preserve">   16:01:04</t>
  </si>
  <si>
    <t xml:space="preserve">   16:01:14</t>
  </si>
  <si>
    <t xml:space="preserve">   16:01:24</t>
  </si>
  <si>
    <t xml:space="preserve">   16:01:34</t>
  </si>
  <si>
    <t xml:space="preserve">   16:01:44</t>
  </si>
  <si>
    <t xml:space="preserve">   16:01:54</t>
  </si>
  <si>
    <t xml:space="preserve">   16:02:04</t>
  </si>
  <si>
    <t xml:space="preserve">   16:02:14</t>
  </si>
  <si>
    <t xml:space="preserve">   16:02:24</t>
  </si>
  <si>
    <t xml:space="preserve">   16:02:34</t>
  </si>
  <si>
    <t xml:space="preserve">   16:02:44</t>
  </si>
  <si>
    <t xml:space="preserve">   16:02:54</t>
  </si>
  <si>
    <t xml:space="preserve">   16:03:04</t>
  </si>
  <si>
    <t xml:space="preserve">   16:03:14</t>
  </si>
  <si>
    <t xml:space="preserve">   16:03:24</t>
  </si>
  <si>
    <t xml:space="preserve">   16:03:34</t>
  </si>
  <si>
    <t xml:space="preserve">   16:03:44</t>
  </si>
  <si>
    <t xml:space="preserve">   16:03:54</t>
  </si>
  <si>
    <t xml:space="preserve">   16:04:04</t>
  </si>
  <si>
    <t xml:space="preserve">   16:04:14</t>
  </si>
  <si>
    <t xml:space="preserve">   16:04:24</t>
  </si>
  <si>
    <t xml:space="preserve">   16:04:34</t>
  </si>
  <si>
    <t xml:space="preserve">   16:04:44</t>
  </si>
  <si>
    <t xml:space="preserve">   16:04:54</t>
  </si>
  <si>
    <t xml:space="preserve">   16:05:04</t>
  </si>
  <si>
    <t xml:space="preserve">   16:05:14</t>
  </si>
  <si>
    <t>Fresh weight (g)</t>
  </si>
  <si>
    <t>Blank (chamber 1) cO2 [µmol/ h]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</si>
</sst>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0.000"/>
    <numFmt numFmtId="173" formatCode="0.0"/>
  </numFmts>
  <fonts count="12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Symbol"/>
      <family val="1"/>
    </font>
    <font>
      <vertAlign val="subscript"/>
      <sz val="10"/>
      <name val="Arial"/>
      <family val="2"/>
    </font>
    <font>
      <b/>
      <sz val="14"/>
      <name val="Arial"/>
      <family val="2"/>
    </font>
    <font>
      <b/>
      <vertAlign val="subscript"/>
      <sz val="14"/>
      <name val="Arial"/>
      <family val="2"/>
    </font>
    <font>
      <b/>
      <sz val="10"/>
      <name val="Symbol"/>
      <family val="1"/>
    </font>
    <font>
      <b/>
      <vertAlign val="subscript"/>
      <sz val="10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double">
        <color auto="1"/>
      </right>
      <top style="medium">
        <color auto="1"/>
      </top>
      <bottom/>
      <diagonal/>
    </border>
    <border>
      <left style="double">
        <color auto="1"/>
      </left>
      <right style="thin">
        <color auto="1"/>
      </right>
      <top style="medium">
        <color auto="1"/>
      </top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32">
    <xf numFmtId="0" fontId="0" fillId="0" borderId="0" xfId="0"/>
    <xf numFmtId="0" fontId="1" fillId="0" borderId="0" xfId="0" applyFont="1" applyFill="1" applyBorder="1"/>
    <xf numFmtId="14" fontId="1" fillId="0" borderId="0" xfId="0" applyNumberFormat="1" applyFont="1" applyFill="1" applyBorder="1"/>
    <xf numFmtId="0" fontId="3" fillId="0" borderId="0" xfId="0" applyFont="1" applyAlignment="1">
      <alignment horizontal="center" vertical="top" wrapText="1"/>
    </xf>
    <xf numFmtId="0" fontId="1" fillId="0" borderId="0" xfId="0" applyFont="1" applyBorder="1"/>
    <xf numFmtId="0" fontId="1" fillId="0" borderId="0" xfId="0" applyFont="1"/>
    <xf numFmtId="0" fontId="4" fillId="0" borderId="1" xfId="0" applyFont="1" applyBorder="1"/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3" xfId="0" applyFont="1" applyFill="1" applyBorder="1"/>
    <xf numFmtId="0" fontId="4" fillId="0" borderId="4" xfId="0" applyFont="1" applyFill="1" applyBorder="1"/>
    <xf numFmtId="0" fontId="1" fillId="2" borderId="5" xfId="0" applyFont="1" applyFill="1" applyBorder="1"/>
    <xf numFmtId="0" fontId="1" fillId="2" borderId="0" xfId="0" applyFont="1" applyFill="1" applyBorder="1"/>
    <xf numFmtId="0" fontId="1" fillId="2" borderId="6" xfId="0" applyFont="1" applyFill="1" applyBorder="1"/>
    <xf numFmtId="0" fontId="1" fillId="0" borderId="7" xfId="0" applyNumberFormat="1" applyFont="1" applyBorder="1" applyAlignment="1">
      <alignment horizontal="center"/>
    </xf>
    <xf numFmtId="0" fontId="1" fillId="2" borderId="8" xfId="0" applyFont="1" applyFill="1" applyBorder="1"/>
    <xf numFmtId="0" fontId="1" fillId="0" borderId="9" xfId="0" applyNumberFormat="1" applyFont="1" applyBorder="1" applyAlignment="1">
      <alignment horizontal="center"/>
    </xf>
    <xf numFmtId="0" fontId="1" fillId="2" borderId="10" xfId="0" applyFont="1" applyFill="1" applyBorder="1"/>
    <xf numFmtId="0" fontId="1" fillId="2" borderId="11" xfId="0" applyFont="1" applyFill="1" applyBorder="1"/>
    <xf numFmtId="0" fontId="7" fillId="3" borderId="1" xfId="0" applyFont="1" applyFill="1" applyBorder="1" applyAlignment="1">
      <alignment horizontal="centerContinuous"/>
    </xf>
    <xf numFmtId="0" fontId="7" fillId="3" borderId="3" xfId="0" applyFont="1" applyFill="1" applyBorder="1" applyAlignment="1">
      <alignment horizontal="centerContinuous"/>
    </xf>
    <xf numFmtId="0" fontId="1" fillId="3" borderId="4" xfId="0" applyFont="1" applyFill="1" applyBorder="1"/>
    <xf numFmtId="0" fontId="7" fillId="3" borderId="5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1" fillId="3" borderId="6" xfId="0" applyFont="1" applyFill="1" applyBorder="1"/>
    <xf numFmtId="0" fontId="7" fillId="3" borderId="5" xfId="0" applyFont="1" applyFill="1" applyBorder="1" applyAlignment="1">
      <alignment horizontal="right"/>
    </xf>
    <xf numFmtId="172" fontId="7" fillId="3" borderId="0" xfId="0" applyNumberFormat="1" applyFont="1" applyFill="1" applyBorder="1"/>
    <xf numFmtId="0" fontId="7" fillId="3" borderId="0" xfId="0" applyFont="1" applyFill="1" applyBorder="1"/>
    <xf numFmtId="0" fontId="1" fillId="3" borderId="0" xfId="0" applyFont="1" applyFill="1" applyBorder="1"/>
    <xf numFmtId="2" fontId="7" fillId="3" borderId="0" xfId="0" applyNumberFormat="1" applyFont="1" applyFill="1" applyBorder="1"/>
    <xf numFmtId="0" fontId="7" fillId="3" borderId="8" xfId="0" applyFont="1" applyFill="1" applyBorder="1" applyAlignment="1">
      <alignment horizontal="right"/>
    </xf>
    <xf numFmtId="2" fontId="7" fillId="3" borderId="10" xfId="0" applyNumberFormat="1" applyFont="1" applyFill="1" applyBorder="1"/>
    <xf numFmtId="0" fontId="7" fillId="3" borderId="10" xfId="0" applyFont="1" applyFill="1" applyBorder="1"/>
    <xf numFmtId="0" fontId="1" fillId="3" borderId="10" xfId="0" applyFont="1" applyFill="1" applyBorder="1"/>
    <xf numFmtId="0" fontId="1" fillId="3" borderId="11" xfId="0" applyFont="1" applyFill="1" applyBorder="1"/>
    <xf numFmtId="0" fontId="7" fillId="0" borderId="0" xfId="0" applyFont="1" applyFill="1" applyBorder="1"/>
    <xf numFmtId="2" fontId="7" fillId="0" borderId="0" xfId="0" applyNumberFormat="1" applyFont="1" applyFill="1" applyBorder="1"/>
    <xf numFmtId="0" fontId="1" fillId="0" borderId="0" xfId="0" applyFont="1" applyFill="1"/>
    <xf numFmtId="0" fontId="4" fillId="4" borderId="1" xfId="0" applyFont="1" applyFill="1" applyBorder="1"/>
    <xf numFmtId="0" fontId="4" fillId="4" borderId="3" xfId="0" applyFont="1" applyFill="1" applyBorder="1"/>
    <xf numFmtId="0" fontId="1" fillId="4" borderId="4" xfId="0" applyFont="1" applyFill="1" applyBorder="1"/>
    <xf numFmtId="0" fontId="4" fillId="4" borderId="5" xfId="0" applyFont="1" applyFill="1" applyBorder="1"/>
    <xf numFmtId="0" fontId="1" fillId="4" borderId="0" xfId="0" applyFont="1" applyFill="1" applyBorder="1"/>
    <xf numFmtId="0" fontId="4" fillId="4" borderId="0" xfId="0" applyFont="1" applyFill="1" applyBorder="1"/>
    <xf numFmtId="0" fontId="1" fillId="4" borderId="6" xfId="0" applyFont="1" applyFill="1" applyBorder="1"/>
    <xf numFmtId="0" fontId="9" fillId="4" borderId="5" xfId="0" applyFont="1" applyFill="1" applyBorder="1"/>
    <xf numFmtId="0" fontId="1" fillId="4" borderId="0" xfId="0" applyFont="1" applyFill="1" applyBorder="1" applyProtection="1"/>
    <xf numFmtId="0" fontId="0" fillId="4" borderId="0" xfId="0" applyFill="1" applyBorder="1"/>
    <xf numFmtId="0" fontId="11" fillId="4" borderId="5" xfId="0" applyFont="1" applyFill="1" applyBorder="1"/>
    <xf numFmtId="0" fontId="0" fillId="4" borderId="6" xfId="0" applyFill="1" applyBorder="1"/>
    <xf numFmtId="0" fontId="0" fillId="4" borderId="0" xfId="0" applyNumberFormat="1" applyFill="1" applyBorder="1"/>
    <xf numFmtId="0" fontId="0" fillId="4" borderId="10" xfId="0" applyFill="1" applyBorder="1"/>
    <xf numFmtId="173" fontId="0" fillId="0" borderId="0" xfId="0" applyNumberFormat="1"/>
    <xf numFmtId="0" fontId="0" fillId="0" borderId="0" xfId="0" applyAlignment="1">
      <alignment wrapText="1"/>
    </xf>
    <xf numFmtId="173" fontId="3" fillId="0" borderId="0" xfId="0" applyNumberFormat="1" applyFont="1" applyAlignment="1">
      <alignment horizontal="center" vertical="top" wrapText="1"/>
    </xf>
    <xf numFmtId="0" fontId="3" fillId="0" borderId="0" xfId="0" applyFont="1"/>
    <xf numFmtId="0" fontId="4" fillId="5" borderId="1" xfId="0" applyFont="1" applyFill="1" applyBorder="1"/>
    <xf numFmtId="0" fontId="4" fillId="5" borderId="12" xfId="0" applyFont="1" applyFill="1" applyBorder="1"/>
    <xf numFmtId="173" fontId="4" fillId="5" borderId="13" xfId="0" applyNumberFormat="1" applyFont="1" applyFill="1" applyBorder="1"/>
    <xf numFmtId="0" fontId="4" fillId="5" borderId="4" xfId="0" applyFont="1" applyFill="1" applyBorder="1"/>
    <xf numFmtId="0" fontId="4" fillId="0" borderId="0" xfId="0" applyFont="1"/>
    <xf numFmtId="173" fontId="4" fillId="0" borderId="0" xfId="0" applyNumberFormat="1" applyFont="1"/>
    <xf numFmtId="0" fontId="4" fillId="5" borderId="5" xfId="0" applyFont="1" applyFill="1" applyBorder="1"/>
    <xf numFmtId="0" fontId="4" fillId="5" borderId="14" xfId="0" applyFont="1" applyFill="1" applyBorder="1"/>
    <xf numFmtId="173" fontId="4" fillId="5" borderId="15" xfId="0" applyNumberFormat="1" applyFont="1" applyFill="1" applyBorder="1"/>
    <xf numFmtId="0" fontId="4" fillId="5" borderId="0" xfId="0" applyFont="1" applyFill="1" applyBorder="1"/>
    <xf numFmtId="0" fontId="4" fillId="5" borderId="6" xfId="0" applyFont="1" applyFill="1" applyBorder="1"/>
    <xf numFmtId="0" fontId="4" fillId="5" borderId="8" xfId="0" applyFont="1" applyFill="1" applyBorder="1"/>
    <xf numFmtId="0" fontId="4" fillId="5" borderId="16" xfId="0" applyNumberFormat="1" applyFont="1" applyFill="1" applyBorder="1" applyAlignment="1">
      <alignment horizontal="right"/>
    </xf>
    <xf numFmtId="0" fontId="4" fillId="5" borderId="17" xfId="0" applyFont="1" applyFill="1" applyBorder="1"/>
    <xf numFmtId="173" fontId="4" fillId="5" borderId="18" xfId="0" applyNumberFormat="1" applyFont="1" applyFill="1" applyBorder="1"/>
    <xf numFmtId="0" fontId="4" fillId="5" borderId="10" xfId="0" applyFont="1" applyFill="1" applyBorder="1"/>
    <xf numFmtId="0" fontId="4" fillId="5" borderId="11" xfId="0" applyFont="1" applyFill="1" applyBorder="1"/>
    <xf numFmtId="0" fontId="4" fillId="0" borderId="0" xfId="0" applyFont="1" applyFill="1" applyBorder="1"/>
    <xf numFmtId="0" fontId="4" fillId="0" borderId="0" xfId="0" applyNumberFormat="1" applyFont="1" applyFill="1" applyBorder="1" applyAlignment="1">
      <alignment horizontal="right"/>
    </xf>
    <xf numFmtId="173" fontId="4" fillId="0" borderId="0" xfId="0" applyNumberFormat="1" applyFont="1" applyFill="1" applyBorder="1"/>
    <xf numFmtId="0" fontId="4" fillId="0" borderId="0" xfId="0" applyFont="1" applyFill="1"/>
    <xf numFmtId="173" fontId="4" fillId="0" borderId="0" xfId="0" applyNumberFormat="1" applyFont="1" applyFill="1"/>
    <xf numFmtId="0" fontId="3" fillId="0" borderId="10" xfId="0" applyFont="1" applyFill="1" applyBorder="1"/>
    <xf numFmtId="0" fontId="1" fillId="4" borderId="3" xfId="0" applyFont="1" applyFill="1" applyBorder="1"/>
    <xf numFmtId="0" fontId="4" fillId="4" borderId="1" xfId="0" applyFont="1" applyFill="1" applyBorder="1" applyAlignment="1">
      <alignment horizontal="right"/>
    </xf>
    <xf numFmtId="173" fontId="1" fillId="4" borderId="3" xfId="0" applyNumberFormat="1" applyFont="1" applyFill="1" applyBorder="1" applyProtection="1"/>
    <xf numFmtId="0" fontId="11" fillId="4" borderId="1" xfId="0" applyFont="1" applyFill="1" applyBorder="1"/>
    <xf numFmtId="0" fontId="0" fillId="4" borderId="3" xfId="0" applyFill="1" applyBorder="1"/>
    <xf numFmtId="173" fontId="11" fillId="4" borderId="1" xfId="0" applyNumberFormat="1" applyFont="1" applyFill="1" applyBorder="1"/>
    <xf numFmtId="0" fontId="0" fillId="4" borderId="4" xfId="0" applyNumberFormat="1" applyFill="1" applyBorder="1"/>
    <xf numFmtId="0" fontId="4" fillId="4" borderId="5" xfId="0" applyFont="1" applyFill="1" applyBorder="1" applyAlignment="1">
      <alignment horizontal="right"/>
    </xf>
    <xf numFmtId="173" fontId="1" fillId="4" borderId="0" xfId="0" applyNumberFormat="1" applyFont="1" applyFill="1" applyBorder="1" applyProtection="1"/>
    <xf numFmtId="173" fontId="11" fillId="4" borderId="5" xfId="0" applyNumberFormat="1" applyFont="1" applyFill="1" applyBorder="1"/>
    <xf numFmtId="0" fontId="0" fillId="4" borderId="5" xfId="0" applyFill="1" applyBorder="1"/>
    <xf numFmtId="0" fontId="4" fillId="4" borderId="8" xfId="0" applyFont="1" applyFill="1" applyBorder="1"/>
    <xf numFmtId="0" fontId="1" fillId="4" borderId="10" xfId="0" applyFont="1" applyFill="1" applyBorder="1"/>
    <xf numFmtId="0" fontId="4" fillId="4" borderId="8" xfId="0" applyFont="1" applyFill="1" applyBorder="1" applyAlignment="1">
      <alignment horizontal="right"/>
    </xf>
    <xf numFmtId="173" fontId="1" fillId="4" borderId="10" xfId="0" applyNumberFormat="1" applyFont="1" applyFill="1" applyBorder="1" applyProtection="1"/>
    <xf numFmtId="0" fontId="0" fillId="4" borderId="8" xfId="0" applyFill="1" applyBorder="1"/>
    <xf numFmtId="0" fontId="4" fillId="0" borderId="0" xfId="0" applyFont="1" applyFill="1" applyBorder="1" applyAlignment="1">
      <alignment horizontal="right"/>
    </xf>
    <xf numFmtId="173" fontId="1" fillId="0" borderId="0" xfId="0" applyNumberFormat="1" applyFont="1" applyFill="1" applyBorder="1" applyProtection="1"/>
    <xf numFmtId="0" fontId="0" fillId="0" borderId="0" xfId="0" applyFill="1" applyBorder="1"/>
    <xf numFmtId="173" fontId="0" fillId="0" borderId="0" xfId="0" applyNumberFormat="1" applyFill="1" applyBorder="1"/>
    <xf numFmtId="0" fontId="0" fillId="0" borderId="0" xfId="0" applyFill="1"/>
    <xf numFmtId="0" fontId="4" fillId="0" borderId="5" xfId="0" applyFont="1" applyFill="1" applyBorder="1" applyAlignment="1">
      <alignment horizontal="right"/>
    </xf>
    <xf numFmtId="14" fontId="0" fillId="0" borderId="0" xfId="0" applyNumberFormat="1"/>
    <xf numFmtId="2" fontId="4" fillId="0" borderId="0" xfId="0" applyNumberFormat="1" applyFont="1" applyFill="1" applyBorder="1"/>
    <xf numFmtId="172" fontId="4" fillId="0" borderId="0" xfId="0" applyNumberFormat="1" applyFont="1" applyFill="1" applyBorder="1"/>
    <xf numFmtId="0" fontId="1" fillId="4" borderId="10" xfId="0" applyNumberFormat="1" applyFont="1" applyFill="1" applyBorder="1" applyAlignment="1">
      <alignment horizontal="center"/>
    </xf>
    <xf numFmtId="0" fontId="1" fillId="4" borderId="11" xfId="0" applyFont="1" applyFill="1" applyBorder="1"/>
    <xf numFmtId="0" fontId="4" fillId="5" borderId="0" xfId="0" applyNumberFormat="1" applyFont="1" applyFill="1" applyBorder="1" applyAlignment="1">
      <alignment horizontal="right"/>
    </xf>
    <xf numFmtId="173" fontId="4" fillId="5" borderId="0" xfId="0" applyNumberFormat="1" applyFont="1" applyFill="1" applyBorder="1"/>
    <xf numFmtId="173" fontId="1" fillId="4" borderId="8" xfId="0" applyNumberFormat="1" applyFont="1" applyFill="1" applyBorder="1"/>
    <xf numFmtId="0" fontId="4" fillId="6" borderId="0" xfId="0" applyFont="1" applyFill="1" applyAlignment="1">
      <alignment wrapText="1"/>
    </xf>
    <xf numFmtId="0" fontId="1" fillId="0" borderId="0" xfId="0" applyFont="1" applyAlignment="1">
      <alignment wrapText="1"/>
    </xf>
    <xf numFmtId="0" fontId="0" fillId="7" borderId="0" xfId="0" applyFill="1" applyAlignment="1">
      <alignment wrapText="1"/>
    </xf>
    <xf numFmtId="0" fontId="0" fillId="0" borderId="7" xfId="0" applyNumberFormat="1" applyBorder="1" applyAlignment="1">
      <alignment horizontal="right"/>
    </xf>
    <xf numFmtId="0" fontId="1" fillId="0" borderId="19" xfId="0" applyFont="1" applyFill="1" applyBorder="1" applyAlignment="1">
      <alignment horizontal="right" wrapText="1"/>
    </xf>
    <xf numFmtId="0" fontId="1" fillId="0" borderId="20" xfId="0" applyFont="1" applyFill="1" applyBorder="1" applyAlignment="1">
      <alignment horizontal="right" wrapText="1"/>
    </xf>
    <xf numFmtId="0" fontId="1" fillId="0" borderId="21" xfId="0" applyFont="1" applyFill="1" applyBorder="1" applyAlignment="1">
      <alignment wrapText="1"/>
    </xf>
    <xf numFmtId="0" fontId="4" fillId="0" borderId="22" xfId="0" applyFont="1" applyFill="1" applyBorder="1" applyAlignment="1">
      <alignment horizontal="center" wrapText="1"/>
    </xf>
    <xf numFmtId="0" fontId="4" fillId="0" borderId="23" xfId="0" applyFont="1" applyFill="1" applyBorder="1" applyAlignment="1">
      <alignment horizontal="center" wrapText="1"/>
    </xf>
    <xf numFmtId="0" fontId="4" fillId="0" borderId="24" xfId="0" applyFont="1" applyFill="1" applyBorder="1" applyAlignment="1">
      <alignment horizontal="center" wrapText="1"/>
    </xf>
    <xf numFmtId="0" fontId="4" fillId="0" borderId="22" xfId="0" applyFont="1" applyFill="1" applyBorder="1" applyAlignment="1">
      <alignment horizontal="left" wrapText="1"/>
    </xf>
    <xf numFmtId="0" fontId="4" fillId="0" borderId="23" xfId="0" applyFont="1" applyFill="1" applyBorder="1" applyAlignment="1">
      <alignment horizontal="left" wrapText="1"/>
    </xf>
    <xf numFmtId="0" fontId="4" fillId="0" borderId="24" xfId="0" applyFont="1" applyFill="1" applyBorder="1" applyAlignment="1">
      <alignment horizontal="left" wrapText="1"/>
    </xf>
    <xf numFmtId="0" fontId="0" fillId="0" borderId="19" xfId="0" applyFill="1" applyBorder="1" applyAlignment="1">
      <alignment wrapText="1"/>
    </xf>
    <xf numFmtId="0" fontId="0" fillId="0" borderId="20" xfId="0" applyBorder="1" applyAlignment="1">
      <alignment horizontal="center" vertical="center" wrapText="1"/>
    </xf>
    <xf numFmtId="0" fontId="0" fillId="0" borderId="20" xfId="0" applyBorder="1" applyAlignment="1">
      <alignment wrapText="1"/>
    </xf>
    <xf numFmtId="0" fontId="0" fillId="0" borderId="21" xfId="0" applyBorder="1" applyAlignment="1">
      <alignment horizontal="center" vertical="center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/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</cellXfs>
  <cellStyles count="1">
    <cellStyle name="Standard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5802742016184"/>
          <c:y val="0.0918729500347664"/>
          <c:w val="0.547326202671286"/>
          <c:h val="0.74911790028348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90"/>
              </a:solidFill>
              <a:ln>
                <a:solidFill>
                  <a:srgbClr val="00009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0.0587649546056294"/>
                  <c:y val="-0.168172622846277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yVal>
            <c:numRef>
              <c:f>'Recalculate Fibox values'!$N$98:$N$189</c:f>
              <c:numCache>
                <c:formatCode>0.00</c:formatCode>
                <c:ptCount val="92"/>
                <c:pt idx="0">
                  <c:v>321.4986805775897</c:v>
                </c:pt>
                <c:pt idx="1">
                  <c:v>322.3741403046763</c:v>
                </c:pt>
                <c:pt idx="2">
                  <c:v>324.7224962163977</c:v>
                </c:pt>
                <c:pt idx="3">
                  <c:v>325.0174596398666</c:v>
                </c:pt>
                <c:pt idx="4">
                  <c:v>326.2004856967283</c:v>
                </c:pt>
                <c:pt idx="5">
                  <c:v>325.0174596398666</c:v>
                </c:pt>
                <c:pt idx="6">
                  <c:v>323.8395022696357</c:v>
                </c:pt>
                <c:pt idx="7">
                  <c:v>325.9042524388238</c:v>
                </c:pt>
                <c:pt idx="8">
                  <c:v>324.1335179734325</c:v>
                </c:pt>
                <c:pt idx="9">
                  <c:v>325.6083373068132</c:v>
                </c:pt>
                <c:pt idx="10">
                  <c:v>328.5818579663082</c:v>
                </c:pt>
                <c:pt idx="11">
                  <c:v>324.1335179734325</c:v>
                </c:pt>
                <c:pt idx="12">
                  <c:v>326.7939083750829</c:v>
                </c:pt>
                <c:pt idx="13">
                  <c:v>330.1422405279654</c:v>
                </c:pt>
                <c:pt idx="14">
                  <c:v>329.8419926929113</c:v>
                </c:pt>
                <c:pt idx="15">
                  <c:v>331.0449288456855</c:v>
                </c:pt>
                <c:pt idx="16">
                  <c:v>332.2530681936554</c:v>
                </c:pt>
                <c:pt idx="17">
                  <c:v>329.5420682358095</c:v>
                </c:pt>
                <c:pt idx="18">
                  <c:v>333.1626049321396</c:v>
                </c:pt>
                <c:pt idx="19">
                  <c:v>331.6483462921644</c:v>
                </c:pt>
                <c:pt idx="20">
                  <c:v>334.0750973949515</c:v>
                </c:pt>
                <c:pt idx="21">
                  <c:v>331.6483462921644</c:v>
                </c:pt>
                <c:pt idx="22">
                  <c:v>334.3799205352975</c:v>
                </c:pt>
                <c:pt idx="23">
                  <c:v>334.9905580802254</c:v>
                </c:pt>
                <c:pt idx="24">
                  <c:v>334.3799205352975</c:v>
                </c:pt>
                <c:pt idx="25">
                  <c:v>332.8590982209678</c:v>
                </c:pt>
                <c:pt idx="26">
                  <c:v>338.0636925516345</c:v>
                </c:pt>
                <c:pt idx="27">
                  <c:v>338.0636925516345</c:v>
                </c:pt>
                <c:pt idx="28">
                  <c:v>339.9236661994476</c:v>
                </c:pt>
                <c:pt idx="29">
                  <c:v>336.2158112762114</c:v>
                </c:pt>
                <c:pt idx="30">
                  <c:v>339.9236661994476</c:v>
                </c:pt>
                <c:pt idx="31">
                  <c:v>337.7548753533165</c:v>
                </c:pt>
                <c:pt idx="32">
                  <c:v>335.9089995460507</c:v>
                </c:pt>
                <c:pt idx="33">
                  <c:v>339.9236661994476</c:v>
                </c:pt>
                <c:pt idx="34">
                  <c:v>340.8582197551903</c:v>
                </c:pt>
                <c:pt idx="35">
                  <c:v>337.4463935786732</c:v>
                </c:pt>
                <c:pt idx="36">
                  <c:v>341.4829556169286</c:v>
                </c:pt>
                <c:pt idx="37">
                  <c:v>340.8582197551903</c:v>
                </c:pt>
                <c:pt idx="38">
                  <c:v>337.7548753533165</c:v>
                </c:pt>
                <c:pt idx="39">
                  <c:v>340.5463623519017</c:v>
                </c:pt>
                <c:pt idx="40">
                  <c:v>342.4226192736262</c:v>
                </c:pt>
                <c:pt idx="41">
                  <c:v>343.0507739258557</c:v>
                </c:pt>
                <c:pt idx="42">
                  <c:v>344.6271816344058</c:v>
                </c:pt>
                <c:pt idx="43">
                  <c:v>343.9955839303453</c:v>
                </c:pt>
                <c:pt idx="44">
                  <c:v>345.8945331405145</c:v>
                </c:pt>
                <c:pt idx="45">
                  <c:v>341.4829556169286</c:v>
                </c:pt>
                <c:pt idx="46">
                  <c:v>340.8582197551903</c:v>
                </c:pt>
                <c:pt idx="47">
                  <c:v>349.4085535516907</c:v>
                </c:pt>
                <c:pt idx="48">
                  <c:v>345.577174524526</c:v>
                </c:pt>
                <c:pt idx="49">
                  <c:v>341.1704173498736</c:v>
                </c:pt>
                <c:pt idx="50">
                  <c:v>345.8945331405145</c:v>
                </c:pt>
                <c:pt idx="51">
                  <c:v>348.7664791675953</c:v>
                </c:pt>
                <c:pt idx="52">
                  <c:v>348.7664791675953</c:v>
                </c:pt>
                <c:pt idx="53">
                  <c:v>344.3112100200428</c:v>
                </c:pt>
                <c:pt idx="54">
                  <c:v>350.052041743272</c:v>
                </c:pt>
                <c:pt idx="55">
                  <c:v>345.577174524526</c:v>
                </c:pt>
                <c:pt idx="56">
                  <c:v>346.8486988435119</c:v>
                </c:pt>
                <c:pt idx="57">
                  <c:v>350.6969477632812</c:v>
                </c:pt>
                <c:pt idx="58">
                  <c:v>347.8060097163255</c:v>
                </c:pt>
                <c:pt idx="59">
                  <c:v>353.2908309991334</c:v>
                </c:pt>
                <c:pt idx="60">
                  <c:v>353.2908309991334</c:v>
                </c:pt>
                <c:pt idx="61">
                  <c:v>350.6969477632812</c:v>
                </c:pt>
                <c:pt idx="62">
                  <c:v>354.9236762826976</c:v>
                </c:pt>
                <c:pt idx="63">
                  <c:v>351.3432756455678</c:v>
                </c:pt>
                <c:pt idx="64">
                  <c:v>357.2248824199078</c:v>
                </c:pt>
                <c:pt idx="65">
                  <c:v>350.052041743272</c:v>
                </c:pt>
                <c:pt idx="66">
                  <c:v>349.6800222477813</c:v>
                </c:pt>
                <c:pt idx="67">
                  <c:v>356.5198886522758</c:v>
                </c:pt>
                <c:pt idx="68">
                  <c:v>353.569064248285</c:v>
                </c:pt>
                <c:pt idx="69">
                  <c:v>357.1796335479322</c:v>
                </c:pt>
                <c:pt idx="70">
                  <c:v>355.2047795749082</c:v>
                </c:pt>
                <c:pt idx="71">
                  <c:v>359.5003114160961</c:v>
                </c:pt>
                <c:pt idx="72">
                  <c:v>355.2047795749082</c:v>
                </c:pt>
                <c:pt idx="73">
                  <c:v>353.2430054871203</c:v>
                </c:pt>
                <c:pt idx="74">
                  <c:v>356.8495781361068</c:v>
                </c:pt>
                <c:pt idx="75">
                  <c:v>357.510055410317</c:v>
                </c:pt>
                <c:pt idx="76">
                  <c:v>361.1690319311562</c:v>
                </c:pt>
                <c:pt idx="77">
                  <c:v>357.510055410317</c:v>
                </c:pt>
                <c:pt idx="78">
                  <c:v>360.166685515341</c:v>
                </c:pt>
                <c:pt idx="79">
                  <c:v>357.1796335479322</c:v>
                </c:pt>
                <c:pt idx="80">
                  <c:v>358.5035249390962</c:v>
                </c:pt>
                <c:pt idx="81">
                  <c:v>361.1690319311562</c:v>
                </c:pt>
                <c:pt idx="82">
                  <c:v>361.1690319311562</c:v>
                </c:pt>
                <c:pt idx="83">
                  <c:v>361.8391259250204</c:v>
                </c:pt>
                <c:pt idx="84">
                  <c:v>358.5035249390962</c:v>
                </c:pt>
                <c:pt idx="85">
                  <c:v>361.8391259250204</c:v>
                </c:pt>
                <c:pt idx="86">
                  <c:v>361.503892267642</c:v>
                </c:pt>
                <c:pt idx="87">
                  <c:v>367.9377831053224</c:v>
                </c:pt>
                <c:pt idx="88">
                  <c:v>368.2802123948715</c:v>
                </c:pt>
                <c:pt idx="89">
                  <c:v>363.5209127615227</c:v>
                </c:pt>
                <c:pt idx="90">
                  <c:v>365.8912442505347</c:v>
                </c:pt>
                <c:pt idx="91">
                  <c:v>365.551488807506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8488264"/>
        <c:axId val="-2098359544"/>
      </c:scatterChart>
      <c:valAx>
        <c:axId val="-2098488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098359544"/>
        <c:crosses val="autoZero"/>
        <c:crossBetween val="midCat"/>
      </c:valAx>
      <c:valAx>
        <c:axId val="-20983595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09848826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40831516952408"/>
          <c:y val="0.384999295045236"/>
          <c:w val="0.229828919450582"/>
          <c:h val="0.1649996978765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/>
    <c:pageMargins b="0.984251969" l="0.787401575" r="0.787401575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23</xdr:row>
      <xdr:rowOff>139700</xdr:rowOff>
    </xdr:from>
    <xdr:to>
      <xdr:col>20</xdr:col>
      <xdr:colOff>355600</xdr:colOff>
      <xdr:row>40</xdr:row>
      <xdr:rowOff>88900</xdr:rowOff>
    </xdr:to>
    <xdr:graphicFrame macro="">
      <xdr:nvGraphicFramePr>
        <xdr:cNvPr id="1031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workbookViewId="0">
      <selection activeCell="I14" sqref="I14"/>
    </sheetView>
  </sheetViews>
  <sheetFormatPr baseColWidth="10" defaultRowHeight="12" x14ac:dyDescent="0"/>
  <cols>
    <col min="1" max="1" width="18.1640625" customWidth="1"/>
    <col min="2" max="2" width="21.33203125" customWidth="1"/>
    <col min="5" max="5" width="21.33203125" customWidth="1"/>
  </cols>
  <sheetData>
    <row r="1" spans="1:5">
      <c r="A1" s="1" t="s">
        <v>72</v>
      </c>
      <c r="D1" s="2"/>
      <c r="E1" s="2">
        <v>39536</v>
      </c>
    </row>
    <row r="2" spans="1:5">
      <c r="A2" s="1" t="s">
        <v>0</v>
      </c>
      <c r="D2" s="2"/>
      <c r="E2" s="2"/>
    </row>
    <row r="3" spans="1:5" ht="45" customHeight="1">
      <c r="A3" s="127" t="s">
        <v>73</v>
      </c>
      <c r="B3" s="127"/>
      <c r="C3" s="127"/>
      <c r="D3" s="127"/>
      <c r="E3" s="128"/>
    </row>
    <row r="4" spans="1:5" ht="15">
      <c r="A4" s="126" t="s">
        <v>1</v>
      </c>
      <c r="B4" s="126"/>
      <c r="C4" s="126"/>
      <c r="D4" s="126"/>
      <c r="E4" s="4"/>
    </row>
    <row r="5" spans="1:5" ht="13" thickBot="1">
      <c r="E5" s="5"/>
    </row>
    <row r="6" spans="1:5">
      <c r="A6" s="6"/>
      <c r="B6" s="7" t="s">
        <v>2</v>
      </c>
      <c r="C6" s="8"/>
      <c r="D6" s="9"/>
      <c r="E6" s="10"/>
    </row>
    <row r="7" spans="1:5">
      <c r="A7" s="11" t="s">
        <v>3</v>
      </c>
      <c r="B7">
        <v>57.96</v>
      </c>
      <c r="C7" s="12" t="s">
        <v>4</v>
      </c>
      <c r="D7" s="12"/>
      <c r="E7" s="13"/>
    </row>
    <row r="8" spans="1:5">
      <c r="A8" s="11" t="s">
        <v>5</v>
      </c>
      <c r="B8">
        <v>29.56</v>
      </c>
      <c r="C8" s="12" t="s">
        <v>6</v>
      </c>
      <c r="D8" s="12"/>
      <c r="E8" s="13"/>
    </row>
    <row r="9" spans="1:5">
      <c r="A9" s="11" t="s">
        <v>7</v>
      </c>
      <c r="B9" s="112">
        <v>29.9</v>
      </c>
      <c r="C9" s="12" t="s">
        <v>8</v>
      </c>
      <c r="D9" s="12"/>
      <c r="E9" s="13"/>
    </row>
    <row r="10" spans="1:5">
      <c r="A10" s="11" t="s">
        <v>9</v>
      </c>
      <c r="B10">
        <v>17.100000000000001</v>
      </c>
      <c r="C10" s="12" t="s">
        <v>10</v>
      </c>
      <c r="D10" s="12"/>
      <c r="E10" s="13"/>
    </row>
    <row r="11" spans="1:5">
      <c r="A11" s="11" t="s">
        <v>11</v>
      </c>
      <c r="B11">
        <v>22.1</v>
      </c>
      <c r="C11" s="12" t="s">
        <v>12</v>
      </c>
      <c r="D11" s="12"/>
      <c r="E11" s="13"/>
    </row>
    <row r="12" spans="1:5">
      <c r="A12" s="11" t="s">
        <v>13</v>
      </c>
      <c r="B12" s="14">
        <v>16.5</v>
      </c>
      <c r="C12" s="12" t="s">
        <v>14</v>
      </c>
      <c r="D12" s="12"/>
      <c r="E12" s="13"/>
    </row>
    <row r="13" spans="1:5">
      <c r="A13" s="11" t="s">
        <v>15</v>
      </c>
      <c r="B13" s="14">
        <v>1013</v>
      </c>
      <c r="C13" s="12" t="s">
        <v>16</v>
      </c>
      <c r="D13" s="12"/>
      <c r="E13" s="13"/>
    </row>
    <row r="14" spans="1:5" ht="13" thickBot="1">
      <c r="A14" s="15" t="s">
        <v>68</v>
      </c>
      <c r="B14" s="16">
        <v>32.299999999999997</v>
      </c>
      <c r="C14" s="17" t="s">
        <v>68</v>
      </c>
      <c r="D14" s="17"/>
      <c r="E14" s="18"/>
    </row>
    <row r="15" spans="1:5" ht="13" thickBot="1">
      <c r="B15" s="4"/>
      <c r="C15" s="1"/>
      <c r="E15" s="1"/>
    </row>
    <row r="16" spans="1:5" ht="17">
      <c r="A16" s="19" t="s">
        <v>17</v>
      </c>
      <c r="B16" s="20"/>
      <c r="C16" s="20"/>
      <c r="D16" s="20"/>
      <c r="E16" s="21"/>
    </row>
    <row r="17" spans="1:5" ht="17">
      <c r="A17" s="22"/>
      <c r="B17" s="23"/>
      <c r="C17" s="23"/>
      <c r="D17" s="23"/>
      <c r="E17" s="24"/>
    </row>
    <row r="18" spans="1:5" ht="17">
      <c r="A18" s="25" t="s">
        <v>18</v>
      </c>
      <c r="B18" s="26">
        <f>(-B43+(SQRT((POWER(B43,2))-4*B42*B44)))/(2*B42)</f>
        <v>107.79746373979872</v>
      </c>
      <c r="C18" s="27" t="s">
        <v>19</v>
      </c>
      <c r="D18" s="28"/>
      <c r="E18" s="24"/>
    </row>
    <row r="19" spans="1:5" ht="19">
      <c r="A19" s="25" t="s">
        <v>20</v>
      </c>
      <c r="B19" s="26">
        <f>B18*20.9/100</f>
        <v>22.529669921617927</v>
      </c>
      <c r="C19" s="27" t="s">
        <v>19</v>
      </c>
      <c r="D19" s="28"/>
      <c r="E19" s="24"/>
    </row>
    <row r="20" spans="1:5" ht="19">
      <c r="A20" s="25" t="s">
        <v>21</v>
      </c>
      <c r="B20" s="29">
        <f>($B$13-EXP(52.57-6690.9/(273.15+$B$12)-4.681*LN(273.15+$B$12)))*$B$18/100*0.2095</f>
        <v>224.52101703845804</v>
      </c>
      <c r="C20" s="27" t="s">
        <v>22</v>
      </c>
      <c r="D20" s="28"/>
      <c r="E20" s="24"/>
    </row>
    <row r="21" spans="1:5" ht="19">
      <c r="A21" s="25" t="s">
        <v>23</v>
      </c>
      <c r="B21" s="29">
        <f>B20/1.33322</f>
        <v>168.4050772104064</v>
      </c>
      <c r="C21" s="27" t="s">
        <v>24</v>
      </c>
      <c r="D21" s="28"/>
      <c r="E21" s="24"/>
    </row>
    <row r="22" spans="1:5" ht="19">
      <c r="A22" s="25" t="s">
        <v>25</v>
      </c>
      <c r="B22" s="26">
        <f>(($B$13-EXP(52.57-6690.9/(273.15+$B$12)-4.681*LN(273.15+$B$12)))/1013)*$B$18/100*0.2095*((49-1.335*B12+0.02759*POWER(B12,2)-0.0003235*POWER(B12,3)+0.000001614*POWER(B12,4))-(B45*
((5.516*10^-1-1.759*10^-2*B12+2.253*10^-4*POWER(B12,2)-2.654*10^-7*POWER(B12,3)+5.362*10^-8*POWER(B12,4)))))*32/22.414</f>
        <v>8.6484362869174287</v>
      </c>
      <c r="C22" s="27" t="s">
        <v>26</v>
      </c>
      <c r="D22" s="27"/>
      <c r="E22" s="24"/>
    </row>
    <row r="23" spans="1:5" ht="19">
      <c r="A23" s="25" t="s">
        <v>27</v>
      </c>
      <c r="B23" s="26">
        <f>B22</f>
        <v>8.6484362869174287</v>
      </c>
      <c r="C23" s="27" t="s">
        <v>28</v>
      </c>
      <c r="D23" s="28"/>
      <c r="E23" s="24"/>
    </row>
    <row r="24" spans="1:5" ht="20" thickBot="1">
      <c r="A24" s="30" t="s">
        <v>29</v>
      </c>
      <c r="B24" s="31">
        <f>B22*31.25</f>
        <v>270.26363396616966</v>
      </c>
      <c r="C24" s="32" t="s">
        <v>30</v>
      </c>
      <c r="D24" s="33"/>
      <c r="E24" s="34"/>
    </row>
    <row r="25" spans="1:5" ht="18" thickBot="1">
      <c r="A25" s="35"/>
      <c r="B25" s="36"/>
      <c r="C25" s="35"/>
      <c r="D25" s="1"/>
      <c r="E25" s="37"/>
    </row>
    <row r="26" spans="1:5" ht="13" thickBot="1">
      <c r="A26" s="38" t="s">
        <v>31</v>
      </c>
      <c r="B26" s="39"/>
      <c r="C26" s="39"/>
      <c r="D26" s="39"/>
      <c r="E26" s="40"/>
    </row>
    <row r="27" spans="1:5">
      <c r="A27" s="41" t="s">
        <v>32</v>
      </c>
      <c r="B27" s="79">
        <v>0.80100000000000005</v>
      </c>
      <c r="C27" s="43"/>
      <c r="D27" s="43"/>
      <c r="E27" s="44"/>
    </row>
    <row r="28" spans="1:5">
      <c r="A28" s="45" t="s">
        <v>33</v>
      </c>
      <c r="B28" s="42">
        <v>-0.08</v>
      </c>
      <c r="C28" s="43"/>
      <c r="D28" s="43"/>
      <c r="E28" s="44"/>
    </row>
    <row r="29" spans="1:5">
      <c r="A29" s="45" t="s">
        <v>34</v>
      </c>
      <c r="B29" s="42">
        <v>3.8299999999999999E-4</v>
      </c>
      <c r="C29" s="43"/>
      <c r="D29" s="43"/>
      <c r="E29" s="44"/>
    </row>
    <row r="30" spans="1:5">
      <c r="A30" s="41" t="s">
        <v>35</v>
      </c>
      <c r="B30" s="42">
        <v>22.9</v>
      </c>
      <c r="C30" s="43"/>
      <c r="D30" s="43"/>
      <c r="E30" s="44"/>
    </row>
    <row r="31" spans="1:5">
      <c r="A31" s="41" t="s">
        <v>36</v>
      </c>
      <c r="B31" s="46">
        <f>TAN(((B7+B28*(B11-B10)))*PI()/180)</f>
        <v>1.5733189518945863</v>
      </c>
      <c r="C31" s="42"/>
      <c r="D31" s="42"/>
      <c r="E31" s="44"/>
    </row>
    <row r="32" spans="1:5">
      <c r="A32" s="41" t="s">
        <v>37</v>
      </c>
      <c r="B32" s="46">
        <f>TAN((B7+(B28*(B12-B10)))*PI()/180)</f>
        <v>1.600831859427791</v>
      </c>
      <c r="C32" s="42"/>
      <c r="D32" s="42"/>
      <c r="E32" s="44"/>
    </row>
    <row r="33" spans="1:5">
      <c r="A33" s="41" t="s">
        <v>38</v>
      </c>
      <c r="B33" s="46">
        <f>TAN(B8*PI()/180)</f>
        <v>0.56715600248937403</v>
      </c>
      <c r="C33" s="42"/>
      <c r="D33" s="42"/>
      <c r="E33" s="44"/>
    </row>
    <row r="34" spans="1:5">
      <c r="A34" s="41" t="s">
        <v>39</v>
      </c>
      <c r="B34" s="46">
        <f>TAN(B9*PI()/180)</f>
        <v>0.57502550374757522</v>
      </c>
      <c r="C34" s="42"/>
      <c r="D34" s="42"/>
      <c r="E34" s="44"/>
    </row>
    <row r="35" spans="1:5">
      <c r="A35" s="41" t="s">
        <v>40</v>
      </c>
      <c r="B35" s="47">
        <f>(-B39+(SQRT(POWER(B39,2)-4*B38*B40)))/(2*B38)</f>
        <v>3.2946092215973527E-2</v>
      </c>
      <c r="C35" s="42"/>
      <c r="D35" s="42"/>
      <c r="E35" s="44"/>
    </row>
    <row r="36" spans="1:5">
      <c r="A36" s="41" t="s">
        <v>41</v>
      </c>
      <c r="B36" s="46">
        <f>B35+(B29*(B12-B11))</f>
        <v>3.0801292215973525E-2</v>
      </c>
      <c r="C36" s="42"/>
      <c r="D36" s="42"/>
      <c r="E36" s="44"/>
    </row>
    <row r="37" spans="1:5">
      <c r="A37" s="41"/>
      <c r="B37" s="46"/>
      <c r="C37" s="42"/>
      <c r="D37" s="42"/>
      <c r="E37" s="44"/>
    </row>
    <row r="38" spans="1:5">
      <c r="A38" s="48" t="s">
        <v>42</v>
      </c>
      <c r="B38" s="47">
        <f>B33/B31*1/B30*POWER(100,2)</f>
        <v>157.41650879796197</v>
      </c>
      <c r="C38" s="47"/>
      <c r="D38" s="47"/>
      <c r="E38" s="44"/>
    </row>
    <row r="39" spans="1:5">
      <c r="A39" s="48" t="s">
        <v>43</v>
      </c>
      <c r="B39" s="47">
        <f>B33/B31*100+B33/B31*1/B30*100-B27*1/B30*100-100+B27*100</f>
        <v>14.224729008826458</v>
      </c>
      <c r="C39" s="47"/>
      <c r="D39" s="47"/>
      <c r="E39" s="44"/>
    </row>
    <row r="40" spans="1:5">
      <c r="A40" s="48" t="s">
        <v>44</v>
      </c>
      <c r="B40" s="47">
        <f>B33/B31-1</f>
        <v>-0.63951619485266709</v>
      </c>
      <c r="C40" s="47"/>
      <c r="D40" s="47"/>
      <c r="E40" s="49"/>
    </row>
    <row r="41" spans="1:5">
      <c r="A41" s="48"/>
      <c r="B41" s="47"/>
      <c r="C41" s="47"/>
      <c r="D41" s="47"/>
      <c r="E41" s="49"/>
    </row>
    <row r="42" spans="1:5">
      <c r="A42" s="48" t="s">
        <v>45</v>
      </c>
      <c r="B42" s="50">
        <f>B34/B32*1/B30*POWER(B36,2)</f>
        <v>1.4881399637798347E-5</v>
      </c>
      <c r="C42" s="50"/>
      <c r="D42" s="47"/>
      <c r="E42" s="49"/>
    </row>
    <row r="43" spans="1:5">
      <c r="A43" s="48" t="s">
        <v>46</v>
      </c>
      <c r="B43" s="47">
        <f>B34/B32*B36+B34/B32*1/B30*B36-B27*1/B30*B36-B36+B27*B36</f>
        <v>4.3402652687142169E-3</v>
      </c>
      <c r="C43" s="47"/>
      <c r="D43" s="47"/>
      <c r="E43" s="49"/>
    </row>
    <row r="44" spans="1:5">
      <c r="A44" s="48" t="s">
        <v>47</v>
      </c>
      <c r="B44" s="47">
        <f>B34/B32-1</f>
        <v>-0.64079581477525371</v>
      </c>
      <c r="C44" s="47"/>
      <c r="D44" s="47"/>
      <c r="E44" s="49"/>
    </row>
    <row r="45" spans="1:5" ht="13" thickBot="1">
      <c r="A45" s="90" t="s">
        <v>69</v>
      </c>
      <c r="B45" s="104">
        <f>(B14-0.03)/1.805</f>
        <v>17.878116343490301</v>
      </c>
      <c r="C45" s="91"/>
      <c r="D45" s="91"/>
      <c r="E45" s="105"/>
    </row>
  </sheetData>
  <mergeCells count="2">
    <mergeCell ref="A4:D4"/>
    <mergeCell ref="A3:E3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0" verticalDpi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5"/>
  <sheetViews>
    <sheetView tabSelected="1" workbookViewId="0"/>
  </sheetViews>
  <sheetFormatPr baseColWidth="10" defaultRowHeight="12" x14ac:dyDescent="0"/>
  <cols>
    <col min="2" max="2" width="16" customWidth="1"/>
    <col min="4" max="4" width="19.1640625" customWidth="1"/>
    <col min="17" max="17" width="11.5" bestFit="1" customWidth="1"/>
    <col min="18" max="18" width="12.6640625" customWidth="1"/>
  </cols>
  <sheetData>
    <row r="1" spans="1:18">
      <c r="A1" s="1" t="s">
        <v>72</v>
      </c>
      <c r="D1" s="2"/>
      <c r="E1" s="2">
        <v>39536</v>
      </c>
    </row>
    <row r="2" spans="1:18">
      <c r="A2" s="1" t="s">
        <v>0</v>
      </c>
      <c r="D2" s="2"/>
      <c r="E2" s="2"/>
    </row>
    <row r="3" spans="1:18" ht="18">
      <c r="A3" s="127" t="s">
        <v>73</v>
      </c>
      <c r="B3" s="127"/>
      <c r="C3" s="127"/>
      <c r="D3" s="127"/>
      <c r="E3" s="129"/>
      <c r="F3" s="129"/>
      <c r="G3" s="130"/>
      <c r="H3" s="130"/>
      <c r="I3" s="130"/>
      <c r="J3" s="130"/>
    </row>
    <row r="4" spans="1:18" ht="15">
      <c r="A4" s="126" t="s">
        <v>1</v>
      </c>
      <c r="B4" s="126"/>
      <c r="C4" s="126"/>
      <c r="D4" s="126"/>
      <c r="E4" s="130"/>
      <c r="F4" s="130"/>
      <c r="G4" s="130"/>
      <c r="H4" s="130"/>
      <c r="I4" s="130"/>
      <c r="J4" s="130"/>
    </row>
    <row r="5" spans="1:18" ht="15">
      <c r="A5" s="3"/>
      <c r="B5" s="3"/>
      <c r="C5" s="3"/>
      <c r="D5" s="54"/>
      <c r="E5" s="53"/>
      <c r="F5" s="53"/>
      <c r="I5" s="52"/>
    </row>
    <row r="6" spans="1:18" ht="16" thickBot="1">
      <c r="A6" s="55" t="s">
        <v>48</v>
      </c>
      <c r="D6" s="52"/>
      <c r="I6" s="52"/>
    </row>
    <row r="7" spans="1:18">
      <c r="A7" s="56" t="s">
        <v>49</v>
      </c>
      <c r="B7">
        <v>57.96</v>
      </c>
      <c r="C7" s="57" t="s">
        <v>50</v>
      </c>
      <c r="D7" s="58" t="s">
        <v>51</v>
      </c>
      <c r="E7">
        <v>17.100000000000001</v>
      </c>
      <c r="F7" s="59" t="s">
        <v>52</v>
      </c>
      <c r="G7" s="60"/>
      <c r="H7" s="60"/>
      <c r="I7" s="61"/>
      <c r="J7" s="60"/>
      <c r="K7" s="60"/>
      <c r="L7" s="60"/>
      <c r="M7" s="60"/>
      <c r="N7" s="60"/>
    </row>
    <row r="8" spans="1:18">
      <c r="A8" s="62" t="s">
        <v>53</v>
      </c>
      <c r="B8">
        <v>29.56</v>
      </c>
      <c r="C8" s="63" t="s">
        <v>50</v>
      </c>
      <c r="D8" s="64" t="s">
        <v>54</v>
      </c>
      <c r="E8">
        <v>22.1</v>
      </c>
      <c r="F8" s="66" t="s">
        <v>52</v>
      </c>
      <c r="G8" s="60"/>
      <c r="H8" s="60"/>
      <c r="I8" s="61"/>
      <c r="J8" s="60"/>
      <c r="K8" s="60"/>
      <c r="L8" s="60"/>
      <c r="M8" s="60"/>
      <c r="N8" s="60"/>
    </row>
    <row r="9" spans="1:18" ht="13" thickBot="1">
      <c r="A9" s="67" t="s">
        <v>55</v>
      </c>
      <c r="B9" s="68">
        <v>1020</v>
      </c>
      <c r="C9" s="69" t="s">
        <v>56</v>
      </c>
      <c r="D9" s="70"/>
      <c r="E9" s="71"/>
      <c r="F9" s="72"/>
      <c r="G9" s="60"/>
      <c r="H9" s="60"/>
      <c r="I9" s="61"/>
      <c r="J9" s="60"/>
      <c r="K9" s="60"/>
      <c r="L9" s="60"/>
      <c r="M9" s="60"/>
      <c r="N9" s="60"/>
    </row>
    <row r="10" spans="1:18">
      <c r="A10" s="65" t="s">
        <v>68</v>
      </c>
      <c r="B10" s="106">
        <v>32.200000000000003</v>
      </c>
      <c r="C10" s="65" t="s">
        <v>70</v>
      </c>
      <c r="D10" s="107"/>
      <c r="E10" s="65"/>
      <c r="F10" s="65"/>
      <c r="G10" s="60"/>
      <c r="H10" s="60"/>
      <c r="I10" s="61"/>
      <c r="J10" s="60"/>
      <c r="K10" s="60"/>
      <c r="L10" s="60"/>
      <c r="M10" s="60"/>
      <c r="N10" s="60"/>
    </row>
    <row r="11" spans="1:18">
      <c r="A11" s="73"/>
      <c r="B11" s="74"/>
      <c r="C11" s="73"/>
      <c r="D11" s="75"/>
      <c r="E11" s="73"/>
      <c r="F11" s="73"/>
      <c r="G11" s="76"/>
      <c r="H11" s="76"/>
      <c r="I11" s="77"/>
      <c r="J11" s="76"/>
      <c r="K11" s="76"/>
      <c r="L11" s="76"/>
      <c r="M11" s="76"/>
      <c r="N11" s="76"/>
    </row>
    <row r="12" spans="1:18" ht="16" thickBot="1">
      <c r="A12" s="78" t="s">
        <v>31</v>
      </c>
      <c r="D12" s="52"/>
      <c r="I12" s="52"/>
    </row>
    <row r="13" spans="1:18">
      <c r="A13" s="38" t="s">
        <v>32</v>
      </c>
      <c r="B13" s="79">
        <v>0.80100000000000005</v>
      </c>
      <c r="C13" s="80" t="s">
        <v>36</v>
      </c>
      <c r="D13" s="81">
        <f>TAN((($B$7+$B$14*($E$8-$E$7)))*PI()/180)</f>
        <v>1.5733189518945863</v>
      </c>
      <c r="E13" s="82" t="s">
        <v>42</v>
      </c>
      <c r="F13" s="83">
        <f>$D$15/$D$13*1/$B$16*POWER(100,2)</f>
        <v>157.41650879796197</v>
      </c>
      <c r="G13" s="38" t="s">
        <v>40</v>
      </c>
      <c r="H13" s="83">
        <f>(-$F$14+(SQRT(POWER($F$14,2)-4*$F$13*$F$15)))/(2*$F$13)</f>
        <v>3.2946092215973527E-2</v>
      </c>
      <c r="I13" s="84" t="s">
        <v>45</v>
      </c>
      <c r="J13" s="85">
        <f>$D$16/$D$14*1/$B$16*POWER($H$14,2)</f>
        <v>1.4455371122212358E-5</v>
      </c>
    </row>
    <row r="14" spans="1:18">
      <c r="A14" s="45" t="s">
        <v>33</v>
      </c>
      <c r="B14" s="42">
        <v>-0.08</v>
      </c>
      <c r="C14" s="86" t="s">
        <v>37</v>
      </c>
      <c r="D14" s="87">
        <f>TAN(($B$7+($B$14*(G21-$E$7)))*PI()/180)</f>
        <v>1.5998374208604691</v>
      </c>
      <c r="E14" s="48" t="s">
        <v>43</v>
      </c>
      <c r="F14" s="47">
        <f>$D$15/$D$13*100+$D$15/$D$13*1/$B$16*100-$B$13*1/$B$16*100-100+$B$13*100</f>
        <v>14.224729008826458</v>
      </c>
      <c r="G14" s="41" t="s">
        <v>41</v>
      </c>
      <c r="H14" s="46">
        <f>$H$13+($B$15*(G21-$E$8))</f>
        <v>3.0877892215973528E-2</v>
      </c>
      <c r="I14" s="88" t="s">
        <v>46</v>
      </c>
      <c r="J14" s="49">
        <f>$D$16/$D$14*$H$14+$D$16/$D$14*1/$B$16*$H$14-$B$13*1/$B$16*$H$14-$H$14+$B$13*$H$14</f>
        <v>3.9639440814880113E-3</v>
      </c>
      <c r="P14" s="129" t="s">
        <v>78</v>
      </c>
      <c r="Q14" s="129"/>
      <c r="R14" s="53"/>
    </row>
    <row r="15" spans="1:18" ht="36">
      <c r="A15" s="45" t="s">
        <v>34</v>
      </c>
      <c r="B15" s="42">
        <v>3.8299999999999999E-4</v>
      </c>
      <c r="C15" s="86" t="s">
        <v>38</v>
      </c>
      <c r="D15" s="87">
        <f>TAN($B$8*PI()/180)</f>
        <v>0.56715600248937403</v>
      </c>
      <c r="E15" s="48" t="s">
        <v>44</v>
      </c>
      <c r="F15" s="47">
        <f>$D$15/$D$13-1</f>
        <v>-0.63951619485266709</v>
      </c>
      <c r="G15" s="89"/>
      <c r="H15" s="47"/>
      <c r="I15" s="88" t="s">
        <v>47</v>
      </c>
      <c r="J15" s="49">
        <f>$D$16/$D$14-1</f>
        <v>-0.65280821984023107</v>
      </c>
      <c r="P15" s="116" t="s">
        <v>77</v>
      </c>
      <c r="Q15" s="117" t="s">
        <v>262</v>
      </c>
      <c r="R15" s="118" t="s">
        <v>263</v>
      </c>
    </row>
    <row r="16" spans="1:18" ht="13" thickBot="1">
      <c r="A16" s="90" t="s">
        <v>35</v>
      </c>
      <c r="B16" s="42">
        <v>22.9</v>
      </c>
      <c r="C16" s="92" t="s">
        <v>39</v>
      </c>
      <c r="D16" s="93">
        <f>TAN(E21*PI()/180)</f>
        <v>0.55545040211475971</v>
      </c>
      <c r="E16" s="94"/>
      <c r="F16" s="51"/>
      <c r="G16" s="94"/>
      <c r="H16" s="51"/>
      <c r="I16" s="108" t="s">
        <v>69</v>
      </c>
      <c r="J16" s="105">
        <f>(B10-0.03)/1.805</f>
        <v>17.822714681440445</v>
      </c>
      <c r="P16" s="113">
        <v>2.5999999999999999E-2</v>
      </c>
      <c r="Q16" s="114">
        <v>7.22E-2</v>
      </c>
      <c r="R16" s="115">
        <v>-0.51480000000000181</v>
      </c>
    </row>
    <row r="17" spans="1:19">
      <c r="A17" s="73"/>
      <c r="B17" s="1"/>
      <c r="C17" s="95"/>
      <c r="D17" s="96"/>
      <c r="E17" s="97"/>
      <c r="F17" s="97"/>
      <c r="G17" s="97"/>
      <c r="H17" s="97"/>
      <c r="I17" s="98"/>
      <c r="J17" s="97"/>
      <c r="K17" s="99"/>
      <c r="L17" s="99"/>
      <c r="M17" s="99"/>
      <c r="N17" s="99"/>
      <c r="P17" s="53"/>
      <c r="Q17" s="53"/>
      <c r="R17" s="53"/>
    </row>
    <row r="18" spans="1:19">
      <c r="A18" s="73" t="s">
        <v>74</v>
      </c>
      <c r="B18" s="1"/>
      <c r="C18" s="95"/>
      <c r="D18" s="96"/>
      <c r="E18" s="97"/>
      <c r="F18" s="97"/>
      <c r="G18" s="97"/>
      <c r="H18" s="97"/>
      <c r="I18" s="75" t="s">
        <v>71</v>
      </c>
      <c r="J18" s="97"/>
      <c r="K18" s="99"/>
      <c r="L18" s="99"/>
      <c r="M18" s="99"/>
      <c r="N18" s="99"/>
      <c r="P18" s="53"/>
      <c r="Q18" s="53"/>
      <c r="R18" s="53"/>
    </row>
    <row r="19" spans="1:19">
      <c r="D19" s="52"/>
      <c r="I19" s="52"/>
      <c r="P19" s="53"/>
      <c r="Q19" s="110"/>
      <c r="R19" s="53"/>
    </row>
    <row r="20" spans="1:19" ht="24">
      <c r="A20" s="60" t="s">
        <v>57</v>
      </c>
      <c r="B20" s="60" t="s">
        <v>58</v>
      </c>
      <c r="C20" s="60" t="s">
        <v>59</v>
      </c>
      <c r="D20" s="61" t="s">
        <v>60</v>
      </c>
      <c r="E20" s="60" t="s">
        <v>75</v>
      </c>
      <c r="F20" s="60" t="s">
        <v>61</v>
      </c>
      <c r="G20" s="60" t="s">
        <v>76</v>
      </c>
      <c r="I20" s="77" t="s">
        <v>62</v>
      </c>
      <c r="J20" s="76" t="s">
        <v>63</v>
      </c>
      <c r="K20" s="76" t="s">
        <v>64</v>
      </c>
      <c r="L20" s="76" t="s">
        <v>65</v>
      </c>
      <c r="M20" s="100" t="s">
        <v>66</v>
      </c>
      <c r="N20" s="95" t="s">
        <v>67</v>
      </c>
      <c r="P20" s="119" t="s">
        <v>91</v>
      </c>
      <c r="Q20" s="120" t="s">
        <v>86</v>
      </c>
      <c r="R20" s="120" t="s">
        <v>87</v>
      </c>
      <c r="S20" s="121" t="s">
        <v>92</v>
      </c>
    </row>
    <row r="21" spans="1:19">
      <c r="A21" s="101">
        <v>40413</v>
      </c>
      <c r="B21" t="s">
        <v>93</v>
      </c>
      <c r="C21">
        <v>0</v>
      </c>
      <c r="D21">
        <v>321.226</v>
      </c>
      <c r="E21">
        <v>29.05</v>
      </c>
      <c r="F21">
        <v>3109</v>
      </c>
      <c r="G21">
        <v>16.7</v>
      </c>
      <c r="I21" s="102">
        <f t="shared" ref="I21:I42" si="0">(-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+(SQRT((POWER(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,2))-4*((TAN(E21*PI()/180))/(TAN(($B$7+($B$14*(G21-$E$7)))*PI()/180))*1/$B$16*POWER(($H$13+($B$15*(G21-$E$8))),2))*((TAN(E21*PI()/180))/(TAN(($B$7+($B$14*(G21-$E$7)))*PI()/180))-1))))/(2*((TAN(E21*PI()/180))/(TAN(($B$7+($B$14*(G21-$E$7)))*PI()/180))*1/$B$16*POWER(($H$13+($B$15*(G21-$E$8))),2)))</f>
        <v>115.79209107852961</v>
      </c>
      <c r="J21" s="103">
        <f t="shared" ref="J21:J84" si="1">I21*20.9/100</f>
        <v>24.200547035412686</v>
      </c>
      <c r="K21" s="75">
        <f>($B$9-EXP(52.57-6690.9/(273.15+G21)-4.681*LN(273.15+G21)))*I21/100*0.2095</f>
        <v>242.81195910712395</v>
      </c>
      <c r="L21" s="75">
        <f t="shared" ref="L21:L84" si="2">K21/1.33322</f>
        <v>182.12444990858518</v>
      </c>
      <c r="M21" s="102">
        <f>(($B$9-EXP(52.57-6690.9/(273.15+G21)-4.681*LN(273.15+G21)))/1013)*I21/100*0.2095*((49-1.335*G21+0.02759*POWER(G21,2)-0.0003235*POWER(G21,3)+0.000001614*POWER(G21,4))
-($J$16*(5.516*10^-1-1.759*10^-2*G21+2.253*10^-4*POWER(G21,2)-2.654*10^-7*POWER(G21,3)+5.363*10^-8*POWER(G21,4))))*32/22.414</f>
        <v>9.3256031728474955</v>
      </c>
      <c r="N21" s="102">
        <f t="shared" ref="N21:N84" si="3">M21*31.25</f>
        <v>291.42509915148423</v>
      </c>
      <c r="P21" s="122">
        <f>Q46</f>
        <v>27.990000000000009</v>
      </c>
      <c r="Q21" s="123">
        <f>P21*(6)</f>
        <v>167.94000000000005</v>
      </c>
      <c r="R21" s="124">
        <f>((Q21/1000)*(P16*1000))-R16</f>
        <v>4.8812400000000036</v>
      </c>
      <c r="S21" s="125">
        <f>R21/Q16</f>
        <v>67.607202216066526</v>
      </c>
    </row>
    <row r="22" spans="1:19">
      <c r="A22" s="101">
        <v>40413</v>
      </c>
      <c r="B22" t="s">
        <v>94</v>
      </c>
      <c r="C22">
        <v>0.20100000000000001</v>
      </c>
      <c r="D22">
        <v>326.12599999999998</v>
      </c>
      <c r="E22">
        <v>28.88</v>
      </c>
      <c r="F22">
        <v>3107</v>
      </c>
      <c r="G22">
        <v>16.7</v>
      </c>
      <c r="I22" s="102">
        <f t="shared" si="0"/>
        <v>117.56335784066704</v>
      </c>
      <c r="J22" s="103">
        <f t="shared" si="1"/>
        <v>24.570741788699412</v>
      </c>
      <c r="K22" s="75">
        <f t="shared" ref="K22:K36" si="4">($B$9-EXP(52.57-6690.9/(273.15+G22)-4.681*LN(273.15+G22)))*I22/100*0.2095</f>
        <v>246.5262434646302</v>
      </c>
      <c r="L22" s="75">
        <f t="shared" si="2"/>
        <v>184.91039998247115</v>
      </c>
      <c r="M22" s="102">
        <f t="shared" ref="M22:M36" si="5">(($B$9-EXP(52.57-6690.9/(273.15+G22)-4.681*LN(273.15+G22)))/1013)*I22/100*0.2095*((49-1.335*G22+0.02759*POWER(G22,2)-0.0003235*POWER(G22,3)+0.000001614*POWER(G22,4))
-($J$16*(5.516*10^-1-1.759*10^-2*G22+2.253*10^-4*POWER(G22,2)-2.654*10^-7*POWER(G22,3)+5.363*10^-8*POWER(G22,4))))*32/22.414</f>
        <v>9.4682565335657642</v>
      </c>
      <c r="N22" s="102">
        <f t="shared" si="3"/>
        <v>295.88301667393011</v>
      </c>
      <c r="P22" s="53"/>
      <c r="Q22" s="53"/>
    </row>
    <row r="23" spans="1:19">
      <c r="A23" s="101">
        <v>40413</v>
      </c>
      <c r="B23" t="s">
        <v>95</v>
      </c>
      <c r="C23">
        <v>0.36799999999999999</v>
      </c>
      <c r="D23">
        <v>324.09800000000001</v>
      </c>
      <c r="E23">
        <v>28.95</v>
      </c>
      <c r="F23">
        <v>3107</v>
      </c>
      <c r="G23">
        <v>16.7</v>
      </c>
      <c r="I23" s="102">
        <f t="shared" si="0"/>
        <v>116.83023368559205</v>
      </c>
      <c r="J23" s="103">
        <f t="shared" si="1"/>
        <v>24.417518840288736</v>
      </c>
      <c r="K23" s="75">
        <f t="shared" si="4"/>
        <v>244.98890779079915</v>
      </c>
      <c r="L23" s="75">
        <f t="shared" si="2"/>
        <v>183.7573002136175</v>
      </c>
      <c r="M23" s="102">
        <f t="shared" si="5"/>
        <v>9.4092125618836064</v>
      </c>
      <c r="N23" s="102">
        <f t="shared" si="3"/>
        <v>294.03789255886272</v>
      </c>
      <c r="P23" s="131" t="s">
        <v>84</v>
      </c>
      <c r="Q23" s="128"/>
      <c r="R23" s="128"/>
      <c r="S23" s="128"/>
    </row>
    <row r="24" spans="1:19">
      <c r="A24" s="101">
        <v>40413</v>
      </c>
      <c r="B24" t="s">
        <v>96</v>
      </c>
      <c r="C24">
        <v>0.53500000000000003</v>
      </c>
      <c r="D24">
        <v>328.26499999999999</v>
      </c>
      <c r="E24">
        <v>28.85</v>
      </c>
      <c r="F24">
        <v>3099</v>
      </c>
      <c r="G24">
        <v>16.600000000000001</v>
      </c>
      <c r="I24" s="102">
        <f t="shared" si="0"/>
        <v>118.10503004738014</v>
      </c>
      <c r="J24" s="103">
        <f t="shared" si="1"/>
        <v>24.683951279902448</v>
      </c>
      <c r="K24" s="75">
        <f t="shared" si="4"/>
        <v>247.69197375743389</v>
      </c>
      <c r="L24" s="75">
        <f t="shared" si="2"/>
        <v>185.78477202369743</v>
      </c>
      <c r="M24" s="102">
        <f t="shared" si="5"/>
        <v>9.5301135632962595</v>
      </c>
      <c r="N24" s="102">
        <f t="shared" si="3"/>
        <v>297.81604885300811</v>
      </c>
      <c r="P24" s="53"/>
      <c r="Q24" s="53"/>
      <c r="R24" s="53"/>
    </row>
    <row r="25" spans="1:19">
      <c r="A25" s="101">
        <v>40413</v>
      </c>
      <c r="B25" t="s">
        <v>97</v>
      </c>
      <c r="C25">
        <v>0.70199999999999996</v>
      </c>
      <c r="D25">
        <v>325.35300000000001</v>
      </c>
      <c r="E25">
        <v>28.95</v>
      </c>
      <c r="F25">
        <v>3105</v>
      </c>
      <c r="G25">
        <v>16.600000000000001</v>
      </c>
      <c r="I25" s="102">
        <f t="shared" si="0"/>
        <v>117.0541254494406</v>
      </c>
      <c r="J25" s="103">
        <f t="shared" si="1"/>
        <v>24.464312218933081</v>
      </c>
      <c r="K25" s="75">
        <f t="shared" si="4"/>
        <v>245.48799790653251</v>
      </c>
      <c r="L25" s="75">
        <f t="shared" si="2"/>
        <v>184.13164962011709</v>
      </c>
      <c r="M25" s="102">
        <f t="shared" si="5"/>
        <v>9.4453141253846287</v>
      </c>
      <c r="N25" s="102">
        <f t="shared" si="3"/>
        <v>295.16606641826962</v>
      </c>
      <c r="P25" s="53"/>
      <c r="Q25" s="53"/>
      <c r="R25" s="53"/>
    </row>
    <row r="26" spans="1:19">
      <c r="A26" s="101">
        <v>40413</v>
      </c>
      <c r="B26" t="s">
        <v>98</v>
      </c>
      <c r="C26">
        <v>0.86799999999999999</v>
      </c>
      <c r="D26">
        <v>327.68</v>
      </c>
      <c r="E26">
        <v>28.87</v>
      </c>
      <c r="F26">
        <v>3102</v>
      </c>
      <c r="G26">
        <v>16.600000000000001</v>
      </c>
      <c r="I26" s="102">
        <f t="shared" si="0"/>
        <v>117.89397540646118</v>
      </c>
      <c r="J26" s="103">
        <f t="shared" si="1"/>
        <v>24.639840859950386</v>
      </c>
      <c r="K26" s="75">
        <f t="shared" si="4"/>
        <v>247.24934620330757</v>
      </c>
      <c r="L26" s="75">
        <f t="shared" si="2"/>
        <v>185.45277313819741</v>
      </c>
      <c r="M26" s="102">
        <f t="shared" si="5"/>
        <v>9.5130831735219061</v>
      </c>
      <c r="N26" s="102">
        <f t="shared" si="3"/>
        <v>297.28384917255954</v>
      </c>
      <c r="P26" s="53"/>
      <c r="Q26" s="53"/>
      <c r="R26" s="53"/>
    </row>
    <row r="27" spans="1:19">
      <c r="A27" s="101">
        <v>40413</v>
      </c>
      <c r="B27" t="s">
        <v>99</v>
      </c>
      <c r="C27">
        <v>1.0349999999999999</v>
      </c>
      <c r="D27">
        <v>324.48500000000001</v>
      </c>
      <c r="E27">
        <v>28.98</v>
      </c>
      <c r="F27">
        <v>3100</v>
      </c>
      <c r="G27">
        <v>16.600000000000001</v>
      </c>
      <c r="I27" s="102">
        <f t="shared" si="0"/>
        <v>116.74097308600641</v>
      </c>
      <c r="J27" s="103">
        <f t="shared" si="1"/>
        <v>24.398863374975335</v>
      </c>
      <c r="K27" s="75">
        <f t="shared" si="4"/>
        <v>244.83124918927038</v>
      </c>
      <c r="L27" s="75">
        <f t="shared" si="2"/>
        <v>183.63904621088071</v>
      </c>
      <c r="M27" s="102">
        <f t="shared" si="5"/>
        <v>9.4200452813316264</v>
      </c>
      <c r="N27" s="102">
        <f t="shared" si="3"/>
        <v>294.37641504161331</v>
      </c>
      <c r="P27" s="53"/>
      <c r="Q27" s="53"/>
      <c r="R27" s="53"/>
    </row>
    <row r="28" spans="1:19">
      <c r="A28" s="101">
        <v>40413</v>
      </c>
      <c r="B28" t="s">
        <v>100</v>
      </c>
      <c r="C28">
        <v>1.202</v>
      </c>
      <c r="D28">
        <v>326.22300000000001</v>
      </c>
      <c r="E28">
        <v>28.92</v>
      </c>
      <c r="F28">
        <v>3111</v>
      </c>
      <c r="G28">
        <v>16.600000000000001</v>
      </c>
      <c r="I28" s="102">
        <f t="shared" si="0"/>
        <v>117.36825268968774</v>
      </c>
      <c r="J28" s="103">
        <f t="shared" si="1"/>
        <v>24.529964812144737</v>
      </c>
      <c r="K28" s="75">
        <f t="shared" si="4"/>
        <v>246.14679115281993</v>
      </c>
      <c r="L28" s="75">
        <f t="shared" si="2"/>
        <v>184.62578655647224</v>
      </c>
      <c r="M28" s="102">
        <f t="shared" si="5"/>
        <v>9.4706616340527958</v>
      </c>
      <c r="N28" s="102">
        <f t="shared" si="3"/>
        <v>295.95817606414988</v>
      </c>
      <c r="P28" s="53"/>
      <c r="Q28" s="53"/>
      <c r="R28" s="53"/>
    </row>
    <row r="29" spans="1:19">
      <c r="A29" s="101">
        <v>40413</v>
      </c>
      <c r="B29" t="s">
        <v>101</v>
      </c>
      <c r="C29">
        <v>1.369</v>
      </c>
      <c r="D29">
        <v>324.774</v>
      </c>
      <c r="E29">
        <v>28.97</v>
      </c>
      <c r="F29">
        <v>3111</v>
      </c>
      <c r="G29">
        <v>16.600000000000001</v>
      </c>
      <c r="I29" s="102">
        <f t="shared" si="0"/>
        <v>116.84524913478892</v>
      </c>
      <c r="J29" s="103">
        <f t="shared" si="1"/>
        <v>24.420657069170879</v>
      </c>
      <c r="K29" s="75">
        <f t="shared" si="4"/>
        <v>245.04993877707375</v>
      </c>
      <c r="L29" s="75">
        <f t="shared" si="2"/>
        <v>183.80307734437957</v>
      </c>
      <c r="M29" s="102">
        <f t="shared" si="5"/>
        <v>9.4284595087902741</v>
      </c>
      <c r="N29" s="102">
        <f t="shared" si="3"/>
        <v>294.63935964969608</v>
      </c>
      <c r="P29" s="53"/>
      <c r="Q29" s="53"/>
      <c r="R29" s="53"/>
    </row>
    <row r="30" spans="1:19">
      <c r="A30" s="101">
        <v>40413</v>
      </c>
      <c r="B30" t="s">
        <v>102</v>
      </c>
      <c r="C30">
        <v>1.536</v>
      </c>
      <c r="D30">
        <v>326.51400000000001</v>
      </c>
      <c r="E30">
        <v>28.91</v>
      </c>
      <c r="F30">
        <v>3106</v>
      </c>
      <c r="G30">
        <v>16.600000000000001</v>
      </c>
      <c r="I30" s="102">
        <f t="shared" si="0"/>
        <v>117.47317910309431</v>
      </c>
      <c r="J30" s="103">
        <f t="shared" si="1"/>
        <v>24.55189443254671</v>
      </c>
      <c r="K30" s="75">
        <f t="shared" si="4"/>
        <v>246.366844696903</v>
      </c>
      <c r="L30" s="75">
        <f t="shared" si="2"/>
        <v>184.7908407441405</v>
      </c>
      <c r="M30" s="102">
        <f t="shared" si="5"/>
        <v>9.4791283406372049</v>
      </c>
      <c r="N30" s="102">
        <f t="shared" si="3"/>
        <v>296.22276064491263</v>
      </c>
      <c r="P30" s="53"/>
      <c r="Q30" s="53"/>
      <c r="R30" s="53"/>
    </row>
    <row r="31" spans="1:19">
      <c r="A31" s="101">
        <v>40413</v>
      </c>
      <c r="B31" t="s">
        <v>103</v>
      </c>
      <c r="C31">
        <v>1.7030000000000001</v>
      </c>
      <c r="D31">
        <v>325.06299999999999</v>
      </c>
      <c r="E31">
        <v>28.96</v>
      </c>
      <c r="F31">
        <v>3104</v>
      </c>
      <c r="G31">
        <v>16.600000000000001</v>
      </c>
      <c r="I31" s="102">
        <f t="shared" si="0"/>
        <v>116.94963320655478</v>
      </c>
      <c r="J31" s="103">
        <f t="shared" si="1"/>
        <v>24.442473340169943</v>
      </c>
      <c r="K31" s="75">
        <f t="shared" si="4"/>
        <v>245.26885491260288</v>
      </c>
      <c r="L31" s="75">
        <f t="shared" si="2"/>
        <v>183.96727840311641</v>
      </c>
      <c r="M31" s="102">
        <f t="shared" si="5"/>
        <v>9.4368824528234683</v>
      </c>
      <c r="N31" s="102">
        <f t="shared" si="3"/>
        <v>294.90257665073341</v>
      </c>
      <c r="P31" s="53"/>
      <c r="Q31" s="53"/>
      <c r="R31" s="53"/>
    </row>
    <row r="32" spans="1:19">
      <c r="A32" s="101">
        <v>40413</v>
      </c>
      <c r="B32" t="s">
        <v>104</v>
      </c>
      <c r="C32">
        <v>1.87</v>
      </c>
      <c r="D32">
        <v>328.851</v>
      </c>
      <c r="E32">
        <v>28.83</v>
      </c>
      <c r="F32">
        <v>3106</v>
      </c>
      <c r="G32">
        <v>16.600000000000001</v>
      </c>
      <c r="I32" s="102">
        <f t="shared" si="0"/>
        <v>118.31652395300877</v>
      </c>
      <c r="J32" s="103">
        <f t="shared" si="1"/>
        <v>24.728153506178831</v>
      </c>
      <c r="K32" s="75">
        <f t="shared" si="4"/>
        <v>248.13552254533738</v>
      </c>
      <c r="L32" s="75">
        <f t="shared" si="2"/>
        <v>186.11746189326396</v>
      </c>
      <c r="M32" s="102">
        <f t="shared" si="5"/>
        <v>9.5471793981533963</v>
      </c>
      <c r="N32" s="102">
        <f t="shared" si="3"/>
        <v>298.34935619229361</v>
      </c>
      <c r="P32" s="53"/>
      <c r="Q32" s="53"/>
      <c r="R32" s="53"/>
    </row>
    <row r="33" spans="1:18">
      <c r="A33" s="101">
        <v>40413</v>
      </c>
      <c r="B33" t="s">
        <v>105</v>
      </c>
      <c r="C33">
        <v>2.0369999999999999</v>
      </c>
      <c r="D33">
        <v>325.93299999999999</v>
      </c>
      <c r="E33">
        <v>28.93</v>
      </c>
      <c r="F33">
        <v>3098</v>
      </c>
      <c r="G33">
        <v>16.600000000000001</v>
      </c>
      <c r="I33" s="102">
        <f t="shared" si="0"/>
        <v>117.26343504228608</v>
      </c>
      <c r="J33" s="103">
        <f t="shared" si="1"/>
        <v>24.508057923837786</v>
      </c>
      <c r="K33" s="75">
        <f t="shared" si="4"/>
        <v>245.9269657147407</v>
      </c>
      <c r="L33" s="75">
        <f t="shared" si="2"/>
        <v>184.46090346284987</v>
      </c>
      <c r="M33" s="102">
        <f t="shared" si="5"/>
        <v>9.4622037039987195</v>
      </c>
      <c r="N33" s="102">
        <f t="shared" si="3"/>
        <v>295.69386574995997</v>
      </c>
      <c r="P33" s="53"/>
      <c r="Q33" s="53"/>
      <c r="R33" s="53"/>
    </row>
    <row r="34" spans="1:18">
      <c r="A34" s="101">
        <v>40413</v>
      </c>
      <c r="B34" t="s">
        <v>106</v>
      </c>
      <c r="C34">
        <v>2.2040000000000002</v>
      </c>
      <c r="D34">
        <v>329.14499999999998</v>
      </c>
      <c r="E34">
        <v>28.82</v>
      </c>
      <c r="F34">
        <v>3100</v>
      </c>
      <c r="G34">
        <v>16.600000000000001</v>
      </c>
      <c r="I34" s="102">
        <f t="shared" si="0"/>
        <v>118.42243600764867</v>
      </c>
      <c r="J34" s="103">
        <f t="shared" si="1"/>
        <v>24.75028912559857</v>
      </c>
      <c r="K34" s="75">
        <f t="shared" si="4"/>
        <v>248.35764319378001</v>
      </c>
      <c r="L34" s="75">
        <f t="shared" si="2"/>
        <v>186.28406654099098</v>
      </c>
      <c r="M34" s="102">
        <f t="shared" si="5"/>
        <v>9.5557256379539837</v>
      </c>
      <c r="N34" s="102">
        <f t="shared" si="3"/>
        <v>298.61642618606197</v>
      </c>
      <c r="P34" s="53"/>
      <c r="Q34" s="53"/>
      <c r="R34" s="53"/>
    </row>
    <row r="35" spans="1:18">
      <c r="A35" s="101">
        <v>40413</v>
      </c>
      <c r="B35" t="s">
        <v>107</v>
      </c>
      <c r="C35">
        <v>2.371</v>
      </c>
      <c r="D35">
        <v>330.91300000000001</v>
      </c>
      <c r="E35">
        <v>28.76</v>
      </c>
      <c r="F35">
        <v>3101</v>
      </c>
      <c r="G35">
        <v>16.600000000000001</v>
      </c>
      <c r="I35" s="102">
        <f t="shared" si="0"/>
        <v>119.06022931692137</v>
      </c>
      <c r="J35" s="103">
        <f t="shared" si="1"/>
        <v>24.883587927236562</v>
      </c>
      <c r="K35" s="75">
        <f t="shared" si="4"/>
        <v>249.69523468805983</v>
      </c>
      <c r="L35" s="75">
        <f t="shared" si="2"/>
        <v>187.28734544040731</v>
      </c>
      <c r="M35" s="102">
        <f t="shared" si="5"/>
        <v>9.6071903610469871</v>
      </c>
      <c r="N35" s="102">
        <f t="shared" si="3"/>
        <v>300.22469878271835</v>
      </c>
      <c r="P35" s="53"/>
      <c r="Q35" s="53"/>
      <c r="R35" s="53"/>
    </row>
    <row r="36" spans="1:18">
      <c r="A36" s="101">
        <v>40413</v>
      </c>
      <c r="B36" t="s">
        <v>108</v>
      </c>
      <c r="C36">
        <v>2.5369999999999999</v>
      </c>
      <c r="D36">
        <v>328.851</v>
      </c>
      <c r="E36">
        <v>28.83</v>
      </c>
      <c r="F36">
        <v>3098</v>
      </c>
      <c r="G36">
        <v>16.600000000000001</v>
      </c>
      <c r="I36" s="102">
        <f t="shared" si="0"/>
        <v>118.31652395300877</v>
      </c>
      <c r="J36" s="103">
        <f t="shared" si="1"/>
        <v>24.728153506178831</v>
      </c>
      <c r="K36" s="75">
        <f t="shared" si="4"/>
        <v>248.13552254533738</v>
      </c>
      <c r="L36" s="75">
        <f t="shared" si="2"/>
        <v>186.11746189326396</v>
      </c>
      <c r="M36" s="102">
        <f t="shared" si="5"/>
        <v>9.5471793981533963</v>
      </c>
      <c r="N36" s="102">
        <f t="shared" si="3"/>
        <v>298.34935619229361</v>
      </c>
      <c r="P36" s="53"/>
      <c r="Q36" s="53"/>
      <c r="R36" s="53"/>
    </row>
    <row r="37" spans="1:18">
      <c r="A37" s="101">
        <v>40413</v>
      </c>
      <c r="B37" t="s">
        <v>109</v>
      </c>
      <c r="C37">
        <v>2.7040000000000002</v>
      </c>
      <c r="D37">
        <v>329.14499999999998</v>
      </c>
      <c r="E37">
        <v>28.82</v>
      </c>
      <c r="F37">
        <v>3096</v>
      </c>
      <c r="G37">
        <v>16.600000000000001</v>
      </c>
      <c r="I37" s="102">
        <f t="shared" si="0"/>
        <v>118.42243600764867</v>
      </c>
      <c r="J37" s="103">
        <f t="shared" si="1"/>
        <v>24.75028912559857</v>
      </c>
      <c r="K37" s="75">
        <f t="shared" ref="K37:K42" si="6">($B$9-EXP(52.57-6690.9/(273.15+G37)-4.681*LN(273.15+G37)))*I37/100*0.2095</f>
        <v>248.35764319378001</v>
      </c>
      <c r="L37" s="75">
        <f t="shared" si="2"/>
        <v>186.28406654099098</v>
      </c>
      <c r="M37" s="102">
        <f t="shared" ref="M37:M42" si="7">(($B$9-EXP(52.57-6690.9/(273.15+G37)-4.681*LN(273.15+G37)))/1013)*I37/100*0.2095*((49-1.335*G37+0.02759*POWER(G37,2)-0.0003235*POWER(G37,3)+0.000001614*POWER(G37,4))
-($J$16*(5.516*10^-1-1.759*10^-2*G37+2.253*10^-4*POWER(G37,2)-2.654*10^-7*POWER(G37,3)+5.363*10^-8*POWER(G37,4))))*32/22.414</f>
        <v>9.5557256379539837</v>
      </c>
      <c r="N37" s="102">
        <f t="shared" si="3"/>
        <v>298.61642618606197</v>
      </c>
      <c r="P37" s="53"/>
      <c r="Q37" s="53"/>
      <c r="R37" s="53"/>
    </row>
    <row r="38" spans="1:18">
      <c r="A38" s="101">
        <v>40413</v>
      </c>
      <c r="B38" t="s">
        <v>110</v>
      </c>
      <c r="C38">
        <v>2.871</v>
      </c>
      <c r="D38">
        <v>327.09699999999998</v>
      </c>
      <c r="E38">
        <v>28.89</v>
      </c>
      <c r="F38">
        <v>3102</v>
      </c>
      <c r="G38">
        <v>16.600000000000001</v>
      </c>
      <c r="I38" s="102">
        <f t="shared" si="0"/>
        <v>117.68335882538931</v>
      </c>
      <c r="J38" s="103">
        <f t="shared" si="1"/>
        <v>24.595821994506363</v>
      </c>
      <c r="K38" s="75">
        <f t="shared" si="6"/>
        <v>246.80763735609924</v>
      </c>
      <c r="L38" s="75">
        <f t="shared" si="2"/>
        <v>185.12146334145845</v>
      </c>
      <c r="M38" s="102">
        <f t="shared" si="7"/>
        <v>9.496088131607749</v>
      </c>
      <c r="N38" s="102">
        <f t="shared" si="3"/>
        <v>296.75275411274214</v>
      </c>
      <c r="P38" s="53"/>
      <c r="Q38" s="53"/>
      <c r="R38" s="53"/>
    </row>
    <row r="39" spans="1:18">
      <c r="A39" s="101">
        <v>40413</v>
      </c>
      <c r="B39" t="s">
        <v>111</v>
      </c>
      <c r="C39">
        <v>3.0379999999999998</v>
      </c>
      <c r="D39">
        <v>328.851</v>
      </c>
      <c r="E39">
        <v>28.83</v>
      </c>
      <c r="F39">
        <v>3098</v>
      </c>
      <c r="G39">
        <v>16.600000000000001</v>
      </c>
      <c r="I39" s="102">
        <f t="shared" si="0"/>
        <v>118.31652395300877</v>
      </c>
      <c r="J39" s="103">
        <f t="shared" si="1"/>
        <v>24.728153506178831</v>
      </c>
      <c r="K39" s="75">
        <f t="shared" si="6"/>
        <v>248.13552254533738</v>
      </c>
      <c r="L39" s="75">
        <f t="shared" si="2"/>
        <v>186.11746189326396</v>
      </c>
      <c r="M39" s="102">
        <f t="shared" si="7"/>
        <v>9.5471793981533963</v>
      </c>
      <c r="N39" s="102">
        <f t="shared" si="3"/>
        <v>298.34935619229361</v>
      </c>
      <c r="P39" s="53"/>
      <c r="Q39" s="53"/>
      <c r="R39" s="53"/>
    </row>
    <row r="40" spans="1:18">
      <c r="A40" s="101">
        <v>40413</v>
      </c>
      <c r="B40" t="s">
        <v>112</v>
      </c>
      <c r="C40">
        <v>3.2050000000000001</v>
      </c>
      <c r="D40">
        <v>326.22300000000001</v>
      </c>
      <c r="E40">
        <v>28.92</v>
      </c>
      <c r="F40">
        <v>3094</v>
      </c>
      <c r="G40">
        <v>16.600000000000001</v>
      </c>
      <c r="I40" s="102">
        <f t="shared" si="0"/>
        <v>117.36825268968774</v>
      </c>
      <c r="J40" s="103">
        <f t="shared" si="1"/>
        <v>24.529964812144737</v>
      </c>
      <c r="K40" s="75">
        <f t="shared" si="6"/>
        <v>246.14679115281993</v>
      </c>
      <c r="L40" s="75">
        <f t="shared" si="2"/>
        <v>184.62578655647224</v>
      </c>
      <c r="M40" s="102">
        <f t="shared" si="7"/>
        <v>9.4706616340527958</v>
      </c>
      <c r="N40" s="102">
        <f t="shared" si="3"/>
        <v>295.95817606414988</v>
      </c>
      <c r="P40" s="53"/>
      <c r="Q40" s="53"/>
      <c r="R40" s="53"/>
    </row>
    <row r="41" spans="1:18">
      <c r="A41" s="101">
        <v>40413</v>
      </c>
      <c r="B41" t="s">
        <v>113</v>
      </c>
      <c r="C41">
        <v>3.3719999999999999</v>
      </c>
      <c r="D41">
        <v>330.322</v>
      </c>
      <c r="E41">
        <v>28.78</v>
      </c>
      <c r="F41">
        <v>3087</v>
      </c>
      <c r="G41">
        <v>16.600000000000001</v>
      </c>
      <c r="I41" s="102">
        <f t="shared" si="0"/>
        <v>118.84718844146482</v>
      </c>
      <c r="J41" s="103">
        <f t="shared" si="1"/>
        <v>24.839062384266143</v>
      </c>
      <c r="K41" s="75">
        <f t="shared" si="6"/>
        <v>249.24844156746482</v>
      </c>
      <c r="L41" s="75">
        <f t="shared" si="2"/>
        <v>186.95222211447833</v>
      </c>
      <c r="M41" s="102">
        <f t="shared" si="7"/>
        <v>9.5899996983299935</v>
      </c>
      <c r="N41" s="102">
        <f t="shared" si="3"/>
        <v>299.68749057281229</v>
      </c>
      <c r="P41" s="53"/>
      <c r="Q41" s="53"/>
      <c r="R41" s="53"/>
    </row>
    <row r="42" spans="1:18">
      <c r="A42" s="101">
        <v>40413</v>
      </c>
      <c r="B42" t="s">
        <v>114</v>
      </c>
      <c r="C42">
        <v>3.5390000000000001</v>
      </c>
      <c r="D42">
        <v>329.14499999999998</v>
      </c>
      <c r="E42">
        <v>28.82</v>
      </c>
      <c r="F42">
        <v>3089</v>
      </c>
      <c r="G42">
        <v>16.600000000000001</v>
      </c>
      <c r="I42" s="102">
        <f t="shared" si="0"/>
        <v>118.42243600764867</v>
      </c>
      <c r="J42" s="103">
        <f t="shared" si="1"/>
        <v>24.75028912559857</v>
      </c>
      <c r="K42" s="75">
        <f t="shared" si="6"/>
        <v>248.35764319378001</v>
      </c>
      <c r="L42" s="75">
        <f t="shared" si="2"/>
        <v>186.28406654099098</v>
      </c>
      <c r="M42" s="102">
        <f t="shared" si="7"/>
        <v>9.5557256379539837</v>
      </c>
      <c r="N42" s="102">
        <f t="shared" si="3"/>
        <v>298.61642618606197</v>
      </c>
      <c r="P42" s="53"/>
      <c r="Q42" s="53"/>
      <c r="R42" s="53"/>
    </row>
    <row r="43" spans="1:18" ht="24">
      <c r="A43" s="101">
        <v>40413</v>
      </c>
      <c r="B43" t="s">
        <v>115</v>
      </c>
      <c r="C43">
        <v>3.706</v>
      </c>
      <c r="D43">
        <v>330.02699999999999</v>
      </c>
      <c r="E43">
        <v>28.79</v>
      </c>
      <c r="F43">
        <v>3084</v>
      </c>
      <c r="G43">
        <v>16.600000000000001</v>
      </c>
      <c r="I43" s="102">
        <f t="shared" ref="I43:I83" si="8">(-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+(SQRT((POWER(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,2))-4*((TAN(E43*PI()/180))/(TAN(($B$7+($B$14*(G43-$E$7)))*PI()/180))*1/$B$16*POWER(($H$13+($B$15*(G43-$E$8))),2))*((TAN(E43*PI()/180))/(TAN(($B$7+($B$14*(G43-$E$7)))*PI()/180))-1))))/(2*((TAN(E43*PI()/180))/(TAN(($B$7+($B$14*(G43-$E$7)))*PI()/180))*1/$B$16*POWER(($H$13+($B$15*(G43-$E$8))),2)))</f>
        <v>118.74083439688316</v>
      </c>
      <c r="J43" s="103">
        <f t="shared" si="1"/>
        <v>24.816834388948578</v>
      </c>
      <c r="K43" s="75">
        <f t="shared" ref="K43:K83" si="9">($B$9-EXP(52.57-6690.9/(273.15+G43)-4.681*LN(273.15+G43)))*I43/100*0.2095</f>
        <v>249.0253939698396</v>
      </c>
      <c r="L43" s="75">
        <f t="shared" si="2"/>
        <v>186.78492219576634</v>
      </c>
      <c r="M43" s="102">
        <f t="shared" ref="M43:M83" si="10">(($B$9-EXP(52.57-6690.9/(273.15+G43)-4.681*LN(273.15+G43)))/1013)*I43/100*0.2095*((49-1.335*G43+0.02759*POWER(G43,2)-0.0003235*POWER(G43,3)+0.000001614*POWER(G43,4))
-($J$16*(5.516*10^-1-1.759*10^-2*G43+2.253*10^-4*POWER(G43,2)-2.654*10^-7*POWER(G43,3)+5.363*10^-8*POWER(G43,4))))*32/22.414</f>
        <v>9.581417793542597</v>
      </c>
      <c r="N43" s="102">
        <f t="shared" si="3"/>
        <v>299.41930604820618</v>
      </c>
      <c r="P43" s="53"/>
      <c r="Q43" s="110" t="s">
        <v>81</v>
      </c>
      <c r="R43" s="110" t="s">
        <v>82</v>
      </c>
    </row>
    <row r="44" spans="1:18" ht="24">
      <c r="A44" s="101">
        <v>40413</v>
      </c>
      <c r="B44" t="s">
        <v>116</v>
      </c>
      <c r="C44">
        <v>3.8730000000000002</v>
      </c>
      <c r="D44">
        <v>332.98899999999998</v>
      </c>
      <c r="E44">
        <v>28.69</v>
      </c>
      <c r="F44">
        <v>3086</v>
      </c>
      <c r="G44">
        <v>16.600000000000001</v>
      </c>
      <c r="I44" s="102">
        <f t="shared" si="8"/>
        <v>119.80938271504321</v>
      </c>
      <c r="J44" s="103">
        <f t="shared" si="1"/>
        <v>25.040160987444029</v>
      </c>
      <c r="K44" s="75">
        <f t="shared" si="9"/>
        <v>251.26637254521506</v>
      </c>
      <c r="L44" s="75">
        <f t="shared" si="2"/>
        <v>188.46579900182644</v>
      </c>
      <c r="M44" s="102">
        <f t="shared" si="10"/>
        <v>9.6676409359087554</v>
      </c>
      <c r="N44" s="102">
        <f t="shared" si="3"/>
        <v>302.11377924714861</v>
      </c>
      <c r="P44" s="110" t="s">
        <v>88</v>
      </c>
      <c r="Q44" s="53">
        <f>0.4665*61+322.58</f>
        <v>351.03649999999999</v>
      </c>
      <c r="R44" s="110" t="s">
        <v>79</v>
      </c>
    </row>
    <row r="45" spans="1:18" ht="24">
      <c r="A45" s="101">
        <v>40413</v>
      </c>
      <c r="B45" t="s">
        <v>117</v>
      </c>
      <c r="C45">
        <v>4.04</v>
      </c>
      <c r="D45">
        <v>331.8</v>
      </c>
      <c r="E45">
        <v>28.73</v>
      </c>
      <c r="F45">
        <v>3080</v>
      </c>
      <c r="G45">
        <v>16.600000000000001</v>
      </c>
      <c r="I45" s="102">
        <f t="shared" si="8"/>
        <v>119.38062488906091</v>
      </c>
      <c r="J45" s="103">
        <f t="shared" si="1"/>
        <v>24.950550601813731</v>
      </c>
      <c r="K45" s="75">
        <f t="shared" si="9"/>
        <v>250.36717399169956</v>
      </c>
      <c r="L45" s="75">
        <f t="shared" si="2"/>
        <v>187.79134275790909</v>
      </c>
      <c r="M45" s="102">
        <f t="shared" si="10"/>
        <v>9.6330436730222875</v>
      </c>
      <c r="N45" s="102">
        <f t="shared" si="3"/>
        <v>301.03261478194651</v>
      </c>
      <c r="P45" s="110" t="s">
        <v>83</v>
      </c>
      <c r="Q45" s="53">
        <f>0.4665*1+322.58</f>
        <v>323.04649999999998</v>
      </c>
      <c r="R45" s="110" t="s">
        <v>80</v>
      </c>
    </row>
    <row r="46" spans="1:18" ht="39" customHeight="1">
      <c r="A46" s="101">
        <v>40413</v>
      </c>
      <c r="B46" t="s">
        <v>118</v>
      </c>
      <c r="C46">
        <v>4.2069999999999999</v>
      </c>
      <c r="D46">
        <v>330.322</v>
      </c>
      <c r="E46">
        <v>28.78</v>
      </c>
      <c r="F46">
        <v>3080</v>
      </c>
      <c r="G46">
        <v>16.600000000000001</v>
      </c>
      <c r="I46" s="102">
        <f t="shared" si="8"/>
        <v>118.84718844146482</v>
      </c>
      <c r="J46" s="103">
        <f t="shared" si="1"/>
        <v>24.839062384266143</v>
      </c>
      <c r="K46" s="75">
        <f t="shared" si="9"/>
        <v>249.24844156746482</v>
      </c>
      <c r="L46" s="75">
        <f t="shared" si="2"/>
        <v>186.95222211447833</v>
      </c>
      <c r="M46" s="102">
        <f t="shared" si="10"/>
        <v>9.5899996983299935</v>
      </c>
      <c r="N46" s="102">
        <f t="shared" si="3"/>
        <v>299.68749057281229</v>
      </c>
      <c r="P46" s="110" t="s">
        <v>89</v>
      </c>
      <c r="Q46" s="111">
        <f>Q44-Q45</f>
        <v>27.990000000000009</v>
      </c>
      <c r="R46" s="110" t="s">
        <v>90</v>
      </c>
    </row>
    <row r="47" spans="1:18" ht="40.5" customHeight="1">
      <c r="A47" s="101">
        <v>40413</v>
      </c>
      <c r="B47" t="s">
        <v>119</v>
      </c>
      <c r="C47">
        <v>4.3730000000000002</v>
      </c>
      <c r="D47">
        <v>332.09699999999998</v>
      </c>
      <c r="E47">
        <v>28.72</v>
      </c>
      <c r="F47">
        <v>3073</v>
      </c>
      <c r="G47">
        <v>16.600000000000001</v>
      </c>
      <c r="I47" s="102">
        <f t="shared" si="8"/>
        <v>119.48764649537885</v>
      </c>
      <c r="J47" s="103">
        <f t="shared" si="1"/>
        <v>24.972918117534178</v>
      </c>
      <c r="K47" s="75">
        <f t="shared" si="9"/>
        <v>250.59162161169468</v>
      </c>
      <c r="L47" s="75">
        <f t="shared" si="2"/>
        <v>187.95969278265753</v>
      </c>
      <c r="M47" s="102">
        <f t="shared" si="10"/>
        <v>9.6416794446022713</v>
      </c>
      <c r="N47" s="102">
        <f t="shared" si="3"/>
        <v>301.30248264382095</v>
      </c>
      <c r="P47" s="109" t="s">
        <v>85</v>
      </c>
      <c r="Q47" s="53"/>
      <c r="R47" s="53"/>
    </row>
    <row r="48" spans="1:18">
      <c r="A48" s="101">
        <v>40413</v>
      </c>
      <c r="B48" t="s">
        <v>120</v>
      </c>
      <c r="C48">
        <v>4.54</v>
      </c>
      <c r="D48">
        <v>331.50400000000002</v>
      </c>
      <c r="E48">
        <v>28.74</v>
      </c>
      <c r="F48">
        <v>3078</v>
      </c>
      <c r="G48">
        <v>16.600000000000001</v>
      </c>
      <c r="I48" s="102">
        <f t="shared" si="8"/>
        <v>119.27371492624293</v>
      </c>
      <c r="J48" s="103">
        <f t="shared" si="1"/>
        <v>24.928206419584772</v>
      </c>
      <c r="K48" s="75">
        <f t="shared" si="9"/>
        <v>250.14296051244222</v>
      </c>
      <c r="L48" s="75">
        <f t="shared" si="2"/>
        <v>187.62316835364172</v>
      </c>
      <c r="M48" s="102">
        <f t="shared" si="10"/>
        <v>9.6244169101630384</v>
      </c>
      <c r="N48" s="102">
        <f t="shared" si="3"/>
        <v>300.76302844259493</v>
      </c>
    </row>
    <row r="49" spans="1:14">
      <c r="A49" s="101">
        <v>40413</v>
      </c>
      <c r="B49" t="s">
        <v>121</v>
      </c>
      <c r="C49">
        <v>4.7069999999999999</v>
      </c>
      <c r="D49">
        <v>334.18200000000002</v>
      </c>
      <c r="E49">
        <v>28.65</v>
      </c>
      <c r="F49">
        <v>3070</v>
      </c>
      <c r="G49">
        <v>16.600000000000001</v>
      </c>
      <c r="I49" s="102">
        <f t="shared" si="8"/>
        <v>120.2399367116397</v>
      </c>
      <c r="J49" s="103">
        <f t="shared" si="1"/>
        <v>25.130146772732697</v>
      </c>
      <c r="K49" s="75">
        <f t="shared" si="9"/>
        <v>252.16933805975199</v>
      </c>
      <c r="L49" s="75">
        <f t="shared" si="2"/>
        <v>189.14308070667406</v>
      </c>
      <c r="M49" s="102">
        <f t="shared" si="10"/>
        <v>9.7023831351279544</v>
      </c>
      <c r="N49" s="102">
        <f t="shared" si="3"/>
        <v>303.19947297274859</v>
      </c>
    </row>
    <row r="50" spans="1:14">
      <c r="A50" s="101">
        <v>40413</v>
      </c>
      <c r="B50" t="s">
        <v>122</v>
      </c>
      <c r="C50">
        <v>4.8739999999999997</v>
      </c>
      <c r="D50">
        <v>332.39400000000001</v>
      </c>
      <c r="E50">
        <v>28.71</v>
      </c>
      <c r="F50">
        <v>3076</v>
      </c>
      <c r="G50">
        <v>16.600000000000001</v>
      </c>
      <c r="I50" s="102">
        <f t="shared" si="8"/>
        <v>119.5947798990463</v>
      </c>
      <c r="J50" s="103">
        <f t="shared" si="1"/>
        <v>24.995308998900672</v>
      </c>
      <c r="K50" s="75">
        <f t="shared" si="9"/>
        <v>250.81630369508349</v>
      </c>
      <c r="L50" s="75">
        <f t="shared" si="2"/>
        <v>188.12821866989955</v>
      </c>
      <c r="M50" s="102">
        <f t="shared" si="10"/>
        <v>9.6503242373173972</v>
      </c>
      <c r="N50" s="102">
        <f t="shared" si="3"/>
        <v>301.57263241616869</v>
      </c>
    </row>
    <row r="51" spans="1:14">
      <c r="A51" s="101">
        <v>40413</v>
      </c>
      <c r="B51" t="s">
        <v>123</v>
      </c>
      <c r="C51">
        <v>5.0410000000000004</v>
      </c>
      <c r="D51">
        <v>336.584</v>
      </c>
      <c r="E51">
        <v>28.57</v>
      </c>
      <c r="F51">
        <v>3071</v>
      </c>
      <c r="G51">
        <v>16.600000000000001</v>
      </c>
      <c r="I51" s="102">
        <f t="shared" si="8"/>
        <v>121.106473008856</v>
      </c>
      <c r="J51" s="103">
        <f t="shared" si="1"/>
        <v>25.311252858850903</v>
      </c>
      <c r="K51" s="75">
        <f t="shared" si="9"/>
        <v>253.9866534247611</v>
      </c>
      <c r="L51" s="75">
        <f t="shared" si="2"/>
        <v>190.5061830941338</v>
      </c>
      <c r="M51" s="102">
        <f t="shared" si="10"/>
        <v>9.7723055534692929</v>
      </c>
      <c r="N51" s="102">
        <f t="shared" si="3"/>
        <v>305.38454854591538</v>
      </c>
    </row>
    <row r="52" spans="1:14">
      <c r="A52" s="101">
        <v>40413</v>
      </c>
      <c r="B52" t="s">
        <v>124</v>
      </c>
      <c r="C52">
        <v>5.2080000000000002</v>
      </c>
      <c r="D52">
        <v>330.02699999999999</v>
      </c>
      <c r="E52">
        <v>28.79</v>
      </c>
      <c r="F52">
        <v>3067</v>
      </c>
      <c r="G52">
        <v>16.600000000000001</v>
      </c>
      <c r="I52" s="102">
        <f t="shared" si="8"/>
        <v>118.74083439688316</v>
      </c>
      <c r="J52" s="103">
        <f t="shared" si="1"/>
        <v>24.816834388948578</v>
      </c>
      <c r="K52" s="75">
        <f t="shared" si="9"/>
        <v>249.0253939698396</v>
      </c>
      <c r="L52" s="75">
        <f t="shared" si="2"/>
        <v>186.78492219576634</v>
      </c>
      <c r="M52" s="102">
        <f t="shared" si="10"/>
        <v>9.581417793542597</v>
      </c>
      <c r="N52" s="102">
        <f t="shared" si="3"/>
        <v>299.41930604820618</v>
      </c>
    </row>
    <row r="53" spans="1:14">
      <c r="A53" s="101">
        <v>40413</v>
      </c>
      <c r="B53" t="s">
        <v>125</v>
      </c>
      <c r="C53">
        <v>5.375</v>
      </c>
      <c r="D53">
        <v>330.91300000000001</v>
      </c>
      <c r="E53">
        <v>28.76</v>
      </c>
      <c r="F53">
        <v>3067</v>
      </c>
      <c r="G53">
        <v>16.600000000000001</v>
      </c>
      <c r="I53" s="102">
        <f t="shared" si="8"/>
        <v>119.06022931692137</v>
      </c>
      <c r="J53" s="103">
        <f t="shared" si="1"/>
        <v>24.883587927236562</v>
      </c>
      <c r="K53" s="75">
        <f t="shared" si="9"/>
        <v>249.69523468805983</v>
      </c>
      <c r="L53" s="75">
        <f t="shared" si="2"/>
        <v>187.28734544040731</v>
      </c>
      <c r="M53" s="102">
        <f t="shared" si="10"/>
        <v>9.6071903610469871</v>
      </c>
      <c r="N53" s="102">
        <f t="shared" si="3"/>
        <v>300.22469878271835</v>
      </c>
    </row>
    <row r="54" spans="1:14">
      <c r="A54" s="101">
        <v>40413</v>
      </c>
      <c r="B54" t="s">
        <v>126</v>
      </c>
      <c r="C54">
        <v>5.5419999999999998</v>
      </c>
      <c r="D54">
        <v>332.98899999999998</v>
      </c>
      <c r="E54">
        <v>28.69</v>
      </c>
      <c r="F54">
        <v>3066</v>
      </c>
      <c r="G54">
        <v>16.600000000000001</v>
      </c>
      <c r="I54" s="102">
        <f t="shared" si="8"/>
        <v>119.80938271504321</v>
      </c>
      <c r="J54" s="103">
        <f t="shared" si="1"/>
        <v>25.040160987444029</v>
      </c>
      <c r="K54" s="75">
        <f t="shared" si="9"/>
        <v>251.26637254521506</v>
      </c>
      <c r="L54" s="75">
        <f t="shared" si="2"/>
        <v>188.46579900182644</v>
      </c>
      <c r="M54" s="102">
        <f t="shared" si="10"/>
        <v>9.6676409359087554</v>
      </c>
      <c r="N54" s="102">
        <f t="shared" si="3"/>
        <v>302.11377924714861</v>
      </c>
    </row>
    <row r="55" spans="1:14">
      <c r="A55" s="101">
        <v>40413</v>
      </c>
      <c r="B55" t="s">
        <v>127</v>
      </c>
      <c r="C55">
        <v>5.7089999999999996</v>
      </c>
      <c r="D55">
        <v>334.48099999999999</v>
      </c>
      <c r="E55">
        <v>28.64</v>
      </c>
      <c r="F55">
        <v>3063</v>
      </c>
      <c r="G55">
        <v>16.600000000000001</v>
      </c>
      <c r="I55" s="102">
        <f t="shared" si="8"/>
        <v>120.34785702500882</v>
      </c>
      <c r="J55" s="103">
        <f t="shared" si="1"/>
        <v>25.152702118226845</v>
      </c>
      <c r="K55" s="75">
        <f t="shared" si="9"/>
        <v>252.3956704641906</v>
      </c>
      <c r="L55" s="75">
        <f t="shared" si="2"/>
        <v>189.31284443992033</v>
      </c>
      <c r="M55" s="102">
        <f t="shared" si="10"/>
        <v>9.7110914250439855</v>
      </c>
      <c r="N55" s="102">
        <f t="shared" si="3"/>
        <v>303.47160703262455</v>
      </c>
    </row>
    <row r="56" spans="1:14">
      <c r="A56" s="101">
        <v>40413</v>
      </c>
      <c r="B56" t="s">
        <v>128</v>
      </c>
      <c r="C56">
        <v>5.8760000000000003</v>
      </c>
      <c r="D56">
        <v>333.88299999999998</v>
      </c>
      <c r="E56">
        <v>28.66</v>
      </c>
      <c r="F56">
        <v>3059</v>
      </c>
      <c r="G56">
        <v>16.600000000000001</v>
      </c>
      <c r="I56" s="102">
        <f t="shared" si="8"/>
        <v>120.13212927939534</v>
      </c>
      <c r="J56" s="103">
        <f t="shared" si="1"/>
        <v>25.107615019393624</v>
      </c>
      <c r="K56" s="75">
        <f t="shared" si="9"/>
        <v>251.94324239161986</v>
      </c>
      <c r="L56" s="75">
        <f t="shared" si="2"/>
        <v>188.97349454075086</v>
      </c>
      <c r="M56" s="102">
        <f t="shared" si="10"/>
        <v>9.6936839537988941</v>
      </c>
      <c r="N56" s="102">
        <f t="shared" si="3"/>
        <v>302.92762355621545</v>
      </c>
    </row>
    <row r="57" spans="1:14">
      <c r="A57" s="101">
        <v>40413</v>
      </c>
      <c r="B57" t="s">
        <v>129</v>
      </c>
      <c r="C57">
        <v>6.0430000000000001</v>
      </c>
      <c r="D57">
        <v>338.09500000000003</v>
      </c>
      <c r="E57">
        <v>28.52</v>
      </c>
      <c r="F57">
        <v>3062</v>
      </c>
      <c r="G57">
        <v>16.600000000000001</v>
      </c>
      <c r="I57" s="102">
        <f t="shared" si="8"/>
        <v>121.6517624738661</v>
      </c>
      <c r="J57" s="103">
        <f t="shared" si="1"/>
        <v>25.425218357038013</v>
      </c>
      <c r="K57" s="75">
        <f t="shared" si="9"/>
        <v>255.13024420834839</v>
      </c>
      <c r="L57" s="75">
        <f t="shared" si="2"/>
        <v>191.3639490919341</v>
      </c>
      <c r="M57" s="102">
        <f t="shared" si="10"/>
        <v>9.816305970084322</v>
      </c>
      <c r="N57" s="102">
        <f t="shared" si="3"/>
        <v>306.75956156513507</v>
      </c>
    </row>
    <row r="58" spans="1:14">
      <c r="A58" s="101">
        <v>40413</v>
      </c>
      <c r="B58" t="s">
        <v>130</v>
      </c>
      <c r="C58">
        <v>6.2089999999999996</v>
      </c>
      <c r="D58">
        <v>338.702</v>
      </c>
      <c r="E58">
        <v>28.5</v>
      </c>
      <c r="F58">
        <v>3056</v>
      </c>
      <c r="G58">
        <v>16.600000000000001</v>
      </c>
      <c r="I58" s="102">
        <f t="shared" si="8"/>
        <v>121.8706816316334</v>
      </c>
      <c r="J58" s="103">
        <f t="shared" si="1"/>
        <v>25.470972461011378</v>
      </c>
      <c r="K58" s="75">
        <f t="shared" si="9"/>
        <v>255.58936536736206</v>
      </c>
      <c r="L58" s="75">
        <f t="shared" si="2"/>
        <v>191.70831923265632</v>
      </c>
      <c r="M58" s="102">
        <f t="shared" si="10"/>
        <v>9.8339709622854734</v>
      </c>
      <c r="N58" s="102">
        <f t="shared" si="3"/>
        <v>307.31159257142104</v>
      </c>
    </row>
    <row r="59" spans="1:14">
      <c r="A59" s="101">
        <v>40413</v>
      </c>
      <c r="B59" t="s">
        <v>131</v>
      </c>
      <c r="C59">
        <v>6.3760000000000003</v>
      </c>
      <c r="D59">
        <v>337.79199999999997</v>
      </c>
      <c r="E59">
        <v>28.53</v>
      </c>
      <c r="F59">
        <v>3056</v>
      </c>
      <c r="G59">
        <v>16.600000000000001</v>
      </c>
      <c r="I59" s="102">
        <f t="shared" si="8"/>
        <v>121.54247536340304</v>
      </c>
      <c r="J59" s="103">
        <f t="shared" si="1"/>
        <v>25.402377350951234</v>
      </c>
      <c r="K59" s="75">
        <f t="shared" si="9"/>
        <v>254.90104533268678</v>
      </c>
      <c r="L59" s="75">
        <f t="shared" si="2"/>
        <v>191.19203532251748</v>
      </c>
      <c r="M59" s="102">
        <f t="shared" si="10"/>
        <v>9.8074873907799578</v>
      </c>
      <c r="N59" s="102">
        <f t="shared" si="3"/>
        <v>306.48398096187367</v>
      </c>
    </row>
    <row r="60" spans="1:14">
      <c r="A60" s="101">
        <v>40413</v>
      </c>
      <c r="B60" t="s">
        <v>132</v>
      </c>
      <c r="C60">
        <v>6.5430000000000001</v>
      </c>
      <c r="D60">
        <v>335.68099999999998</v>
      </c>
      <c r="E60">
        <v>28.6</v>
      </c>
      <c r="F60">
        <v>3052</v>
      </c>
      <c r="G60">
        <v>16.600000000000001</v>
      </c>
      <c r="I60" s="102">
        <f t="shared" si="8"/>
        <v>120.78067020954505</v>
      </c>
      <c r="J60" s="103">
        <f t="shared" si="1"/>
        <v>25.243160073794915</v>
      </c>
      <c r="K60" s="75">
        <f t="shared" si="9"/>
        <v>253.30337398793563</v>
      </c>
      <c r="L60" s="75">
        <f t="shared" si="2"/>
        <v>189.99367995374777</v>
      </c>
      <c r="M60" s="102">
        <f t="shared" si="10"/>
        <v>9.7460159223212592</v>
      </c>
      <c r="N60" s="102">
        <f t="shared" si="3"/>
        <v>304.56299757253936</v>
      </c>
    </row>
    <row r="61" spans="1:14">
      <c r="A61" s="101">
        <v>40413</v>
      </c>
      <c r="B61" t="s">
        <v>133</v>
      </c>
      <c r="C61">
        <v>6.71</v>
      </c>
      <c r="D61">
        <v>339.91899999999998</v>
      </c>
      <c r="E61">
        <v>28.46</v>
      </c>
      <c r="F61">
        <v>3053</v>
      </c>
      <c r="G61">
        <v>16.600000000000001</v>
      </c>
      <c r="I61" s="102">
        <f t="shared" si="8"/>
        <v>122.30990415649977</v>
      </c>
      <c r="J61" s="103">
        <f t="shared" si="1"/>
        <v>25.562769968708448</v>
      </c>
      <c r="K61" s="75">
        <f t="shared" si="9"/>
        <v>256.51051067386788</v>
      </c>
      <c r="L61" s="75">
        <f t="shared" si="2"/>
        <v>192.39923694054085</v>
      </c>
      <c r="M61" s="102">
        <f t="shared" si="10"/>
        <v>9.869412641101821</v>
      </c>
      <c r="N61" s="102">
        <f t="shared" si="3"/>
        <v>308.41914503443189</v>
      </c>
    </row>
    <row r="62" spans="1:14">
      <c r="A62" s="101">
        <v>40413</v>
      </c>
      <c r="B62" t="s">
        <v>134</v>
      </c>
      <c r="C62">
        <v>6.86</v>
      </c>
      <c r="D62">
        <v>335.38</v>
      </c>
      <c r="E62">
        <v>28.61</v>
      </c>
      <c r="F62">
        <v>3050</v>
      </c>
      <c r="G62">
        <v>16.600000000000001</v>
      </c>
      <c r="I62" s="102">
        <f t="shared" si="8"/>
        <v>120.67229681115438</v>
      </c>
      <c r="J62" s="103">
        <f t="shared" si="1"/>
        <v>25.220510033531262</v>
      </c>
      <c r="K62" s="75">
        <f t="shared" si="9"/>
        <v>253.07609136551542</v>
      </c>
      <c r="L62" s="75">
        <f t="shared" si="2"/>
        <v>189.82320349643376</v>
      </c>
      <c r="M62" s="102">
        <f t="shared" si="10"/>
        <v>9.7372710721358864</v>
      </c>
      <c r="N62" s="102">
        <f t="shared" si="3"/>
        <v>304.28972100424647</v>
      </c>
    </row>
    <row r="63" spans="1:14">
      <c r="A63" s="101">
        <v>40413</v>
      </c>
      <c r="B63" t="s">
        <v>135</v>
      </c>
      <c r="C63">
        <v>7.0270000000000001</v>
      </c>
      <c r="D63">
        <v>337.79199999999997</v>
      </c>
      <c r="E63">
        <v>28.53</v>
      </c>
      <c r="F63">
        <v>3050</v>
      </c>
      <c r="G63">
        <v>16.600000000000001</v>
      </c>
      <c r="I63" s="102">
        <f t="shared" si="8"/>
        <v>121.54247536340304</v>
      </c>
      <c r="J63" s="103">
        <f t="shared" si="1"/>
        <v>25.402377350951234</v>
      </c>
      <c r="K63" s="75">
        <f t="shared" si="9"/>
        <v>254.90104533268678</v>
      </c>
      <c r="L63" s="75">
        <f t="shared" si="2"/>
        <v>191.19203532251748</v>
      </c>
      <c r="M63" s="102">
        <f t="shared" si="10"/>
        <v>9.8074873907799578</v>
      </c>
      <c r="N63" s="102">
        <f t="shared" si="3"/>
        <v>306.48398096187367</v>
      </c>
    </row>
    <row r="64" spans="1:14">
      <c r="A64" s="101">
        <v>40413</v>
      </c>
      <c r="B64" t="s">
        <v>136</v>
      </c>
      <c r="C64">
        <v>7.194</v>
      </c>
      <c r="D64">
        <v>339.91899999999998</v>
      </c>
      <c r="E64">
        <v>28.46</v>
      </c>
      <c r="F64">
        <v>3047</v>
      </c>
      <c r="G64">
        <v>16.600000000000001</v>
      </c>
      <c r="I64" s="102">
        <f t="shared" si="8"/>
        <v>122.30990415649977</v>
      </c>
      <c r="J64" s="103">
        <f t="shared" si="1"/>
        <v>25.562769968708448</v>
      </c>
      <c r="K64" s="75">
        <f t="shared" si="9"/>
        <v>256.51051067386788</v>
      </c>
      <c r="L64" s="75">
        <f t="shared" si="2"/>
        <v>192.39923694054085</v>
      </c>
      <c r="M64" s="102">
        <f t="shared" si="10"/>
        <v>9.869412641101821</v>
      </c>
      <c r="N64" s="102">
        <f t="shared" si="3"/>
        <v>308.41914503443189</v>
      </c>
    </row>
    <row r="65" spans="1:14">
      <c r="A65" s="101">
        <v>40413</v>
      </c>
      <c r="B65" t="s">
        <v>137</v>
      </c>
      <c r="C65">
        <v>7.3609999999999998</v>
      </c>
      <c r="D65">
        <v>339.31</v>
      </c>
      <c r="E65">
        <v>28.48</v>
      </c>
      <c r="F65">
        <v>3039</v>
      </c>
      <c r="G65">
        <v>16.600000000000001</v>
      </c>
      <c r="I65" s="102">
        <f t="shared" si="8"/>
        <v>122.09006176672079</v>
      </c>
      <c r="J65" s="103">
        <f t="shared" si="1"/>
        <v>25.516822909244642</v>
      </c>
      <c r="K65" s="75">
        <f t="shared" si="9"/>
        <v>256.04945329622649</v>
      </c>
      <c r="L65" s="75">
        <f t="shared" si="2"/>
        <v>192.05341451240341</v>
      </c>
      <c r="M65" s="102">
        <f t="shared" si="10"/>
        <v>9.8516731516001492</v>
      </c>
      <c r="N65" s="102">
        <f t="shared" si="3"/>
        <v>307.86478598750466</v>
      </c>
    </row>
    <row r="66" spans="1:14">
      <c r="A66" s="101">
        <v>40413</v>
      </c>
      <c r="B66" t="s">
        <v>138</v>
      </c>
      <c r="C66">
        <v>7.5279999999999996</v>
      </c>
      <c r="D66">
        <v>341.14100000000002</v>
      </c>
      <c r="E66">
        <v>28.42</v>
      </c>
      <c r="F66">
        <v>3032</v>
      </c>
      <c r="G66">
        <v>16.600000000000001</v>
      </c>
      <c r="I66" s="102">
        <f t="shared" si="8"/>
        <v>122.7509808298779</v>
      </c>
      <c r="J66" s="103">
        <f t="shared" si="1"/>
        <v>25.65495499344448</v>
      </c>
      <c r="K66" s="75">
        <f t="shared" si="9"/>
        <v>257.43554453367523</v>
      </c>
      <c r="L66" s="75">
        <f t="shared" si="2"/>
        <v>193.09307131131789</v>
      </c>
      <c r="M66" s="102">
        <f t="shared" si="10"/>
        <v>9.9050039345948093</v>
      </c>
      <c r="N66" s="102">
        <f t="shared" si="3"/>
        <v>309.53137295608781</v>
      </c>
    </row>
    <row r="67" spans="1:14">
      <c r="A67" s="101">
        <v>40413</v>
      </c>
      <c r="B67" t="s">
        <v>139</v>
      </c>
      <c r="C67">
        <v>7.6950000000000003</v>
      </c>
      <c r="D67">
        <v>345.77199999999999</v>
      </c>
      <c r="E67">
        <v>28.27</v>
      </c>
      <c r="F67">
        <v>3034</v>
      </c>
      <c r="G67">
        <v>16.600000000000001</v>
      </c>
      <c r="I67" s="102">
        <f t="shared" si="8"/>
        <v>124.42170846283609</v>
      </c>
      <c r="J67" s="103">
        <f t="shared" si="1"/>
        <v>26.004137068732742</v>
      </c>
      <c r="K67" s="75">
        <f t="shared" si="9"/>
        <v>260.93942429944383</v>
      </c>
      <c r="L67" s="75">
        <f t="shared" si="2"/>
        <v>195.72120452696765</v>
      </c>
      <c r="M67" s="102">
        <f t="shared" si="10"/>
        <v>10.039818040895289</v>
      </c>
      <c r="N67" s="102">
        <f t="shared" si="3"/>
        <v>313.74431377797777</v>
      </c>
    </row>
    <row r="68" spans="1:14">
      <c r="A68" s="101">
        <v>40413</v>
      </c>
      <c r="B68" t="s">
        <v>140</v>
      </c>
      <c r="C68">
        <v>7.8620000000000001</v>
      </c>
      <c r="D68">
        <v>346.39400000000001</v>
      </c>
      <c r="E68">
        <v>28.25</v>
      </c>
      <c r="F68">
        <v>3044</v>
      </c>
      <c r="G68">
        <v>16.600000000000001</v>
      </c>
      <c r="I68" s="102">
        <f t="shared" si="8"/>
        <v>124.64648267504539</v>
      </c>
      <c r="J68" s="103">
        <f t="shared" si="1"/>
        <v>26.051114879084484</v>
      </c>
      <c r="K68" s="75">
        <f t="shared" si="9"/>
        <v>261.41082478297579</v>
      </c>
      <c r="L68" s="75">
        <f t="shared" si="2"/>
        <v>196.07478494395207</v>
      </c>
      <c r="M68" s="102">
        <f t="shared" si="10"/>
        <v>10.057955488280854</v>
      </c>
      <c r="N68" s="102">
        <f t="shared" si="3"/>
        <v>314.31110900877667</v>
      </c>
    </row>
    <row r="69" spans="1:14">
      <c r="A69" s="101">
        <v>40413</v>
      </c>
      <c r="B69" t="s">
        <v>141</v>
      </c>
      <c r="C69">
        <v>8.0289999999999999</v>
      </c>
      <c r="D69">
        <v>342.67700000000002</v>
      </c>
      <c r="E69">
        <v>28.37</v>
      </c>
      <c r="F69">
        <v>3040</v>
      </c>
      <c r="G69">
        <v>16.600000000000001</v>
      </c>
      <c r="I69" s="102">
        <f t="shared" si="8"/>
        <v>123.30494976588736</v>
      </c>
      <c r="J69" s="103">
        <f t="shared" si="1"/>
        <v>25.770734501070457</v>
      </c>
      <c r="K69" s="75">
        <f t="shared" si="9"/>
        <v>258.59733805851869</v>
      </c>
      <c r="L69" s="75">
        <f t="shared" si="2"/>
        <v>193.96449052558367</v>
      </c>
      <c r="M69" s="102">
        <f t="shared" si="10"/>
        <v>9.9497047137960895</v>
      </c>
      <c r="N69" s="102">
        <f t="shared" si="3"/>
        <v>310.92827230612778</v>
      </c>
    </row>
    <row r="70" spans="1:14">
      <c r="A70" s="101">
        <v>40413</v>
      </c>
      <c r="B70" t="s">
        <v>142</v>
      </c>
      <c r="C70">
        <v>8.1959999999999997</v>
      </c>
      <c r="D70">
        <v>345.553</v>
      </c>
      <c r="E70">
        <v>28.32</v>
      </c>
      <c r="F70">
        <v>3040</v>
      </c>
      <c r="G70">
        <v>16.5</v>
      </c>
      <c r="I70" s="102">
        <f t="shared" si="8"/>
        <v>124.09902529770552</v>
      </c>
      <c r="J70" s="103">
        <f t="shared" si="1"/>
        <v>25.936696287220453</v>
      </c>
      <c r="K70" s="75">
        <f t="shared" si="9"/>
        <v>260.29389115393195</v>
      </c>
      <c r="L70" s="75">
        <f t="shared" si="2"/>
        <v>195.23701351159744</v>
      </c>
      <c r="M70" s="102">
        <f t="shared" si="10"/>
        <v>10.032999640093484</v>
      </c>
      <c r="N70" s="102">
        <f t="shared" si="3"/>
        <v>313.53123875292135</v>
      </c>
    </row>
    <row r="71" spans="1:14">
      <c r="A71" s="101">
        <v>40413</v>
      </c>
      <c r="B71" t="s">
        <v>143</v>
      </c>
      <c r="C71">
        <v>8.3629999999999995</v>
      </c>
      <c r="D71">
        <v>347.11099999999999</v>
      </c>
      <c r="E71">
        <v>28.27</v>
      </c>
      <c r="F71">
        <v>3025</v>
      </c>
      <c r="G71">
        <v>16.5</v>
      </c>
      <c r="I71" s="102">
        <f t="shared" si="8"/>
        <v>124.659922995085</v>
      </c>
      <c r="J71" s="103">
        <f t="shared" si="1"/>
        <v>26.053923905972759</v>
      </c>
      <c r="K71" s="75">
        <f t="shared" si="9"/>
        <v>261.47035683398013</v>
      </c>
      <c r="L71" s="75">
        <f t="shared" si="2"/>
        <v>196.11943777769619</v>
      </c>
      <c r="M71" s="102">
        <f t="shared" si="10"/>
        <v>10.078346381394937</v>
      </c>
      <c r="N71" s="102">
        <f t="shared" si="3"/>
        <v>314.94832441859177</v>
      </c>
    </row>
    <row r="72" spans="1:14">
      <c r="A72" s="101">
        <v>40413</v>
      </c>
      <c r="B72" t="s">
        <v>144</v>
      </c>
      <c r="C72">
        <v>8.5289999999999999</v>
      </c>
      <c r="D72">
        <v>341.84899999999999</v>
      </c>
      <c r="E72">
        <v>28.44</v>
      </c>
      <c r="F72">
        <v>3031</v>
      </c>
      <c r="G72">
        <v>16.5</v>
      </c>
      <c r="I72" s="102">
        <f t="shared" si="8"/>
        <v>122.76490605946817</v>
      </c>
      <c r="J72" s="103">
        <f t="shared" si="1"/>
        <v>25.657865366428847</v>
      </c>
      <c r="K72" s="75">
        <f t="shared" si="9"/>
        <v>257.495617058297</v>
      </c>
      <c r="L72" s="75">
        <f t="shared" si="2"/>
        <v>193.1381295347332</v>
      </c>
      <c r="M72" s="102">
        <f t="shared" si="10"/>
        <v>9.9251404703299286</v>
      </c>
      <c r="N72" s="102">
        <f t="shared" si="3"/>
        <v>310.16063969781027</v>
      </c>
    </row>
    <row r="73" spans="1:14">
      <c r="A73" s="101">
        <v>40413</v>
      </c>
      <c r="B73" t="s">
        <v>145</v>
      </c>
      <c r="C73">
        <v>8.6959999999999997</v>
      </c>
      <c r="D73">
        <v>342.77</v>
      </c>
      <c r="E73">
        <v>28.41</v>
      </c>
      <c r="F73">
        <v>3027</v>
      </c>
      <c r="G73">
        <v>16.5</v>
      </c>
      <c r="I73" s="102">
        <f t="shared" si="8"/>
        <v>123.09685325659854</v>
      </c>
      <c r="J73" s="103">
        <f t="shared" si="1"/>
        <v>25.727242330629092</v>
      </c>
      <c r="K73" s="75">
        <f t="shared" si="9"/>
        <v>258.19186610128037</v>
      </c>
      <c r="L73" s="75">
        <f t="shared" si="2"/>
        <v>193.66036070662034</v>
      </c>
      <c r="M73" s="102">
        <f t="shared" si="10"/>
        <v>9.9519773137406595</v>
      </c>
      <c r="N73" s="102">
        <f t="shared" si="3"/>
        <v>310.9992910543956</v>
      </c>
    </row>
    <row r="74" spans="1:14">
      <c r="A74" s="101">
        <v>40413</v>
      </c>
      <c r="B74" t="s">
        <v>146</v>
      </c>
      <c r="C74">
        <v>8.8629999999999995</v>
      </c>
      <c r="D74">
        <v>347.73599999999999</v>
      </c>
      <c r="E74">
        <v>28.25</v>
      </c>
      <c r="F74">
        <v>3027</v>
      </c>
      <c r="G74">
        <v>16.5</v>
      </c>
      <c r="I74" s="102">
        <f t="shared" si="8"/>
        <v>124.88511530617205</v>
      </c>
      <c r="J74" s="103">
        <f t="shared" si="1"/>
        <v>26.100989098989956</v>
      </c>
      <c r="K74" s="75">
        <f t="shared" si="9"/>
        <v>261.94269078479226</v>
      </c>
      <c r="L74" s="75">
        <f t="shared" si="2"/>
        <v>196.47371835465432</v>
      </c>
      <c r="M74" s="102">
        <f t="shared" si="10"/>
        <v>10.09655244200394</v>
      </c>
      <c r="N74" s="102">
        <f t="shared" si="3"/>
        <v>315.51726381262313</v>
      </c>
    </row>
    <row r="75" spans="1:14">
      <c r="A75" s="101">
        <v>40413</v>
      </c>
      <c r="B75" t="s">
        <v>147</v>
      </c>
      <c r="C75">
        <v>9.0299999999999994</v>
      </c>
      <c r="D75">
        <v>346.17500000000001</v>
      </c>
      <c r="E75">
        <v>28.3</v>
      </c>
      <c r="F75">
        <v>3021</v>
      </c>
      <c r="G75">
        <v>16.5</v>
      </c>
      <c r="I75" s="102">
        <f t="shared" si="8"/>
        <v>124.32302810330245</v>
      </c>
      <c r="J75" s="103">
        <f t="shared" si="1"/>
        <v>25.983512873590211</v>
      </c>
      <c r="K75" s="75">
        <f t="shared" si="9"/>
        <v>260.76373015354011</v>
      </c>
      <c r="L75" s="75">
        <f t="shared" si="2"/>
        <v>195.58942271608595</v>
      </c>
      <c r="M75" s="102">
        <f t="shared" si="10"/>
        <v>10.051109533080496</v>
      </c>
      <c r="N75" s="102">
        <f t="shared" si="3"/>
        <v>314.09717290876551</v>
      </c>
    </row>
    <row r="76" spans="1:14">
      <c r="A76" s="101">
        <v>40413</v>
      </c>
      <c r="B76" t="s">
        <v>148</v>
      </c>
      <c r="C76">
        <v>9.1969999999999992</v>
      </c>
      <c r="D76">
        <v>344.93299999999999</v>
      </c>
      <c r="E76">
        <v>28.34</v>
      </c>
      <c r="F76">
        <v>3024</v>
      </c>
      <c r="G76">
        <v>16.5</v>
      </c>
      <c r="I76" s="102">
        <f t="shared" si="8"/>
        <v>123.87549598662628</v>
      </c>
      <c r="J76" s="103">
        <f t="shared" si="1"/>
        <v>25.889978661204893</v>
      </c>
      <c r="K76" s="75">
        <f t="shared" si="9"/>
        <v>259.82504529452092</v>
      </c>
      <c r="L76" s="75">
        <f t="shared" si="2"/>
        <v>194.88534922557486</v>
      </c>
      <c r="M76" s="102">
        <f t="shared" si="10"/>
        <v>10.014928027587032</v>
      </c>
      <c r="N76" s="102">
        <f t="shared" si="3"/>
        <v>312.96650086209479</v>
      </c>
    </row>
    <row r="77" spans="1:14">
      <c r="A77" s="101">
        <v>40413</v>
      </c>
      <c r="B77" t="s">
        <v>149</v>
      </c>
      <c r="C77">
        <v>9.3640000000000008</v>
      </c>
      <c r="D77">
        <v>349.935</v>
      </c>
      <c r="E77">
        <v>28.18</v>
      </c>
      <c r="F77">
        <v>3023</v>
      </c>
      <c r="G77">
        <v>16.5</v>
      </c>
      <c r="I77" s="102">
        <f t="shared" si="8"/>
        <v>125.67706234377229</v>
      </c>
      <c r="J77" s="103">
        <f t="shared" si="1"/>
        <v>26.266506029848404</v>
      </c>
      <c r="K77" s="75">
        <f t="shared" si="9"/>
        <v>263.60377535423413</v>
      </c>
      <c r="L77" s="75">
        <f t="shared" si="2"/>
        <v>197.71963768487879</v>
      </c>
      <c r="M77" s="102">
        <f t="shared" si="10"/>
        <v>10.160578765531907</v>
      </c>
      <c r="N77" s="102">
        <f t="shared" si="3"/>
        <v>317.5180864228721</v>
      </c>
    </row>
    <row r="78" spans="1:14">
      <c r="A78" s="101">
        <v>40413</v>
      </c>
      <c r="B78" t="s">
        <v>150</v>
      </c>
      <c r="C78">
        <v>9.5310000000000006</v>
      </c>
      <c r="D78">
        <v>346.79899999999998</v>
      </c>
      <c r="E78">
        <v>28.28</v>
      </c>
      <c r="F78">
        <v>3017</v>
      </c>
      <c r="G78">
        <v>16.5</v>
      </c>
      <c r="I78" s="102">
        <f t="shared" si="8"/>
        <v>124.54750571999942</v>
      </c>
      <c r="J78" s="103">
        <f t="shared" si="1"/>
        <v>26.030428695479877</v>
      </c>
      <c r="K78" s="75">
        <f t="shared" si="9"/>
        <v>261.23456505483642</v>
      </c>
      <c r="L78" s="75">
        <f t="shared" si="2"/>
        <v>195.94257891033467</v>
      </c>
      <c r="M78" s="102">
        <f t="shared" si="10"/>
        <v>10.069257812989438</v>
      </c>
      <c r="N78" s="102">
        <f t="shared" si="3"/>
        <v>314.66430665591992</v>
      </c>
    </row>
    <row r="79" spans="1:14">
      <c r="A79" s="101">
        <v>40413</v>
      </c>
      <c r="B79" t="s">
        <v>151</v>
      </c>
      <c r="C79">
        <v>9.6980000000000004</v>
      </c>
      <c r="D79">
        <v>350.25099999999998</v>
      </c>
      <c r="E79">
        <v>28.17</v>
      </c>
      <c r="F79">
        <v>3020</v>
      </c>
      <c r="G79">
        <v>16.5</v>
      </c>
      <c r="I79" s="102">
        <f t="shared" si="8"/>
        <v>125.79067909318333</v>
      </c>
      <c r="J79" s="103">
        <f t="shared" si="1"/>
        <v>26.290251930475314</v>
      </c>
      <c r="K79" s="75">
        <f t="shared" si="9"/>
        <v>263.84208299390747</v>
      </c>
      <c r="L79" s="75">
        <f t="shared" si="2"/>
        <v>197.89838360803728</v>
      </c>
      <c r="M79" s="102">
        <f t="shared" si="10"/>
        <v>10.169764307507078</v>
      </c>
      <c r="N79" s="102">
        <f t="shared" si="3"/>
        <v>317.80513460959622</v>
      </c>
    </row>
    <row r="80" spans="1:14">
      <c r="A80" s="101">
        <v>40413</v>
      </c>
      <c r="B80" t="s">
        <v>152</v>
      </c>
      <c r="C80">
        <v>9.8650000000000002</v>
      </c>
      <c r="D80">
        <v>348.67700000000002</v>
      </c>
      <c r="E80">
        <v>28.22</v>
      </c>
      <c r="F80">
        <v>3016</v>
      </c>
      <c r="G80">
        <v>16.5</v>
      </c>
      <c r="I80" s="102">
        <f t="shared" si="8"/>
        <v>125.22380066530161</v>
      </c>
      <c r="J80" s="103">
        <f t="shared" si="1"/>
        <v>26.171774339048035</v>
      </c>
      <c r="K80" s="75">
        <f t="shared" si="9"/>
        <v>262.6530729154594</v>
      </c>
      <c r="L80" s="75">
        <f t="shared" si="2"/>
        <v>197.00655024336524</v>
      </c>
      <c r="M80" s="102">
        <f t="shared" si="10"/>
        <v>10.123934043737718</v>
      </c>
      <c r="N80" s="102">
        <f t="shared" si="3"/>
        <v>316.37293886680368</v>
      </c>
    </row>
    <row r="81" spans="1:14">
      <c r="A81" s="101">
        <v>40413</v>
      </c>
      <c r="B81" t="s">
        <v>153</v>
      </c>
      <c r="C81">
        <v>10.032</v>
      </c>
      <c r="D81">
        <v>349.30500000000001</v>
      </c>
      <c r="E81">
        <v>28.2</v>
      </c>
      <c r="F81">
        <v>3009</v>
      </c>
      <c r="G81">
        <v>16.5</v>
      </c>
      <c r="I81" s="102">
        <f t="shared" si="8"/>
        <v>125.45019077603807</v>
      </c>
      <c r="J81" s="103">
        <f t="shared" si="1"/>
        <v>26.219089872191955</v>
      </c>
      <c r="K81" s="75">
        <f t="shared" si="9"/>
        <v>263.12791921421962</v>
      </c>
      <c r="L81" s="75">
        <f t="shared" si="2"/>
        <v>197.36271524146022</v>
      </c>
      <c r="M81" s="102">
        <f t="shared" si="10"/>
        <v>10.142236942524319</v>
      </c>
      <c r="N81" s="102">
        <f t="shared" si="3"/>
        <v>316.94490445388493</v>
      </c>
    </row>
    <row r="82" spans="1:14">
      <c r="A82" s="101">
        <v>40413</v>
      </c>
      <c r="B82" t="s">
        <v>154</v>
      </c>
      <c r="C82">
        <v>10.199</v>
      </c>
      <c r="D82">
        <v>350.88299999999998</v>
      </c>
      <c r="E82">
        <v>28.15</v>
      </c>
      <c r="F82">
        <v>3014</v>
      </c>
      <c r="G82">
        <v>16.5</v>
      </c>
      <c r="I82" s="102">
        <f t="shared" si="8"/>
        <v>126.0182753637642</v>
      </c>
      <c r="J82" s="103">
        <f t="shared" si="1"/>
        <v>26.337819551026719</v>
      </c>
      <c r="K82" s="75">
        <f t="shared" si="9"/>
        <v>264.31945917586779</v>
      </c>
      <c r="L82" s="75">
        <f t="shared" si="2"/>
        <v>198.25644617982613</v>
      </c>
      <c r="M82" s="102">
        <f t="shared" si="10"/>
        <v>10.18816472036565</v>
      </c>
      <c r="N82" s="102">
        <f t="shared" si="3"/>
        <v>318.38014751142657</v>
      </c>
    </row>
    <row r="83" spans="1:14">
      <c r="A83" s="101">
        <v>40413</v>
      </c>
      <c r="B83" t="s">
        <v>155</v>
      </c>
      <c r="C83">
        <v>10.365</v>
      </c>
      <c r="D83">
        <v>349.62</v>
      </c>
      <c r="E83">
        <v>28.19</v>
      </c>
      <c r="F83">
        <v>3012</v>
      </c>
      <c r="G83">
        <v>16.5</v>
      </c>
      <c r="I83" s="102">
        <f t="shared" si="8"/>
        <v>125.56356629401301</v>
      </c>
      <c r="J83" s="103">
        <f t="shared" si="1"/>
        <v>26.242785355448717</v>
      </c>
      <c r="K83" s="75">
        <f t="shared" si="9"/>
        <v>263.36572087837038</v>
      </c>
      <c r="L83" s="75">
        <f t="shared" si="2"/>
        <v>197.5410816507181</v>
      </c>
      <c r="M83" s="102">
        <f t="shared" si="10"/>
        <v>10.151402981728166</v>
      </c>
      <c r="N83" s="102">
        <f t="shared" si="3"/>
        <v>317.23134317900519</v>
      </c>
    </row>
    <row r="84" spans="1:14">
      <c r="A84" s="101">
        <v>40413</v>
      </c>
      <c r="B84" t="s">
        <v>156</v>
      </c>
      <c r="C84">
        <v>10.532</v>
      </c>
      <c r="D84">
        <v>350.25099999999998</v>
      </c>
      <c r="E84">
        <v>28.17</v>
      </c>
      <c r="F84">
        <v>3010</v>
      </c>
      <c r="G84">
        <v>16.5</v>
      </c>
      <c r="I84" s="102">
        <f t="shared" ref="I84:I101" si="11">(-((TAN(E84*PI()/180))/(TAN(($B$7+($B$14*(G84-$E$7)))*PI()/180))*($H$13+($B$15*(G84-$E$8)))+(TAN(E84*PI()/180))/(TAN(($B$7+($B$14*(G84-$E$7)))*PI()/180))*1/$B$16*($H$13+($B$15*(G84-$E$8)))-$B$13*1/$B$16*($H$13+($B$15*(G84-$E$8)))-($H$13+($B$15*(G84-$E$8)))+$B$13*($H$13+($B$15*(G84-$E$8))))+(SQRT((POWER(((TAN(E84*PI()/180))/(TAN(($B$7+($B$14*(G84-$E$7)))*PI()/180))*($H$13+($B$15*(G84-$E$8)))+(TAN(E84*PI()/180))/(TAN(($B$7+($B$14*(G84-$E$7)))*PI()/180))*1/$B$16*($H$13+($B$15*(G84-$E$8)))-$B$13*1/$B$16*($H$13+($B$15*(G84-$E$8)))-($H$13+($B$15*(G84-$E$8)))+$B$13*($H$13+($B$15*(G84-$E$8)))),2))-4*((TAN(E84*PI()/180))/(TAN(($B$7+($B$14*(G84-$E$7)))*PI()/180))*1/$B$16*POWER(($H$13+($B$15*(G84-$E$8))),2))*((TAN(E84*PI()/180))/(TAN(($B$7+($B$14*(G84-$E$7)))*PI()/180))-1))))/(2*((TAN(E84*PI()/180))/(TAN(($B$7+($B$14*(G84-$E$7)))*PI()/180))*1/$B$16*POWER(($H$13+($B$15*(G84-$E$8))),2)))</f>
        <v>125.79067909318333</v>
      </c>
      <c r="J84" s="103">
        <f t="shared" si="1"/>
        <v>26.290251930475314</v>
      </c>
      <c r="K84" s="75">
        <f t="shared" ref="K84:K101" si="12">($B$9-EXP(52.57-6690.9/(273.15+G84)-4.681*LN(273.15+G84)))*I84/100*0.2095</f>
        <v>263.84208299390747</v>
      </c>
      <c r="L84" s="75">
        <f t="shared" si="2"/>
        <v>197.89838360803728</v>
      </c>
      <c r="M84" s="102">
        <f t="shared" ref="M84:M101" si="13">(($B$9-EXP(52.57-6690.9/(273.15+G84)-4.681*LN(273.15+G84)))/1013)*I84/100*0.2095*((49-1.335*G84+0.02759*POWER(G84,2)-0.0003235*POWER(G84,3)+0.000001614*POWER(G84,4))
-($J$16*(5.516*10^-1-1.759*10^-2*G84+2.253*10^-4*POWER(G84,2)-2.654*10^-7*POWER(G84,3)+5.363*10^-8*POWER(G84,4))))*32/22.414</f>
        <v>10.169764307507078</v>
      </c>
      <c r="N84" s="102">
        <f t="shared" si="3"/>
        <v>317.80513460959622</v>
      </c>
    </row>
    <row r="85" spans="1:14">
      <c r="A85" s="101">
        <v>40413</v>
      </c>
      <c r="B85" t="s">
        <v>157</v>
      </c>
      <c r="C85">
        <v>10.699</v>
      </c>
      <c r="D85">
        <v>353.10500000000002</v>
      </c>
      <c r="E85">
        <v>28.08</v>
      </c>
      <c r="F85">
        <v>3005</v>
      </c>
      <c r="G85">
        <v>16.5</v>
      </c>
      <c r="I85" s="102">
        <f t="shared" si="11"/>
        <v>126.81868915266833</v>
      </c>
      <c r="J85" s="103">
        <f t="shared" ref="J85:J148" si="14">I85*20.9/100</f>
        <v>26.50510603290768</v>
      </c>
      <c r="K85" s="75">
        <f t="shared" si="12"/>
        <v>265.99830249592873</v>
      </c>
      <c r="L85" s="75">
        <f t="shared" ref="L85:L148" si="15">K85/1.33322</f>
        <v>199.51568570523148</v>
      </c>
      <c r="M85" s="102">
        <f t="shared" si="13"/>
        <v>10.252875552998995</v>
      </c>
      <c r="N85" s="102">
        <f t="shared" ref="N85:N148" si="16">M85*31.25</f>
        <v>320.40236103121862</v>
      </c>
    </row>
    <row r="86" spans="1:14">
      <c r="A86" s="101">
        <v>40413</v>
      </c>
      <c r="B86" t="s">
        <v>158</v>
      </c>
      <c r="C86">
        <v>10.866</v>
      </c>
      <c r="D86">
        <v>350.56700000000001</v>
      </c>
      <c r="E86">
        <v>28.16</v>
      </c>
      <c r="F86">
        <v>3006</v>
      </c>
      <c r="G86">
        <v>16.5</v>
      </c>
      <c r="I86" s="102">
        <f t="shared" si="11"/>
        <v>125.90441671038036</v>
      </c>
      <c r="J86" s="103">
        <f t="shared" si="14"/>
        <v>26.314023092469494</v>
      </c>
      <c r="K86" s="75">
        <f t="shared" si="12"/>
        <v>264.08064415004685</v>
      </c>
      <c r="L86" s="75">
        <f t="shared" si="15"/>
        <v>198.07731968470833</v>
      </c>
      <c r="M86" s="102">
        <f t="shared" si="13"/>
        <v>10.178959621246772</v>
      </c>
      <c r="N86" s="102">
        <f t="shared" si="16"/>
        <v>318.0924881639616</v>
      </c>
    </row>
    <row r="87" spans="1:14">
      <c r="A87" s="101">
        <v>40413</v>
      </c>
      <c r="B87" t="s">
        <v>159</v>
      </c>
      <c r="C87">
        <v>11.032999999999999</v>
      </c>
      <c r="D87">
        <v>349.935</v>
      </c>
      <c r="E87">
        <v>28.18</v>
      </c>
      <c r="F87">
        <v>3007</v>
      </c>
      <c r="G87">
        <v>16.5</v>
      </c>
      <c r="I87" s="102">
        <f t="shared" si="11"/>
        <v>125.67706234377229</v>
      </c>
      <c r="J87" s="103">
        <f t="shared" si="14"/>
        <v>26.266506029848404</v>
      </c>
      <c r="K87" s="75">
        <f t="shared" si="12"/>
        <v>263.60377535423413</v>
      </c>
      <c r="L87" s="75">
        <f t="shared" si="15"/>
        <v>197.71963768487879</v>
      </c>
      <c r="M87" s="102">
        <f t="shared" si="13"/>
        <v>10.160578765531907</v>
      </c>
      <c r="N87" s="102">
        <f t="shared" si="16"/>
        <v>317.5180864228721</v>
      </c>
    </row>
    <row r="88" spans="1:14">
      <c r="A88" s="101">
        <v>40413</v>
      </c>
      <c r="B88" t="s">
        <v>160</v>
      </c>
      <c r="C88">
        <v>11.2</v>
      </c>
      <c r="D88">
        <v>352.46899999999999</v>
      </c>
      <c r="E88">
        <v>28.1</v>
      </c>
      <c r="F88">
        <v>2998</v>
      </c>
      <c r="G88">
        <v>16.5</v>
      </c>
      <c r="I88" s="102">
        <f t="shared" si="11"/>
        <v>126.5893900862774</v>
      </c>
      <c r="J88" s="103">
        <f t="shared" si="14"/>
        <v>26.457182528031975</v>
      </c>
      <c r="K88" s="75">
        <f t="shared" si="12"/>
        <v>265.51735475209529</v>
      </c>
      <c r="L88" s="75">
        <f t="shared" si="15"/>
        <v>199.15494423433137</v>
      </c>
      <c r="M88" s="102">
        <f t="shared" si="13"/>
        <v>10.234337474677631</v>
      </c>
      <c r="N88" s="102">
        <f t="shared" si="16"/>
        <v>319.82304608367593</v>
      </c>
    </row>
    <row r="89" spans="1:14">
      <c r="A89" s="101">
        <v>40413</v>
      </c>
      <c r="B89" t="s">
        <v>161</v>
      </c>
      <c r="C89">
        <v>11.367000000000001</v>
      </c>
      <c r="D89">
        <v>352.78699999999998</v>
      </c>
      <c r="E89">
        <v>28.09</v>
      </c>
      <c r="F89">
        <v>3002</v>
      </c>
      <c r="G89">
        <v>16.5</v>
      </c>
      <c r="I89" s="102">
        <f t="shared" si="11"/>
        <v>126.7039785082179</v>
      </c>
      <c r="J89" s="103">
        <f t="shared" si="14"/>
        <v>26.48113150821754</v>
      </c>
      <c r="K89" s="75">
        <f t="shared" si="12"/>
        <v>265.75770044503304</v>
      </c>
      <c r="L89" s="75">
        <f t="shared" si="15"/>
        <v>199.33521882737509</v>
      </c>
      <c r="M89" s="102">
        <f t="shared" si="13"/>
        <v>10.243601573193555</v>
      </c>
      <c r="N89" s="102">
        <f t="shared" si="16"/>
        <v>320.11254916229859</v>
      </c>
    </row>
    <row r="90" spans="1:14">
      <c r="A90" s="101">
        <v>40413</v>
      </c>
      <c r="B90" t="s">
        <v>162</v>
      </c>
      <c r="C90">
        <v>11.534000000000001</v>
      </c>
      <c r="D90">
        <v>352.46899999999999</v>
      </c>
      <c r="E90">
        <v>28.1</v>
      </c>
      <c r="F90">
        <v>2991</v>
      </c>
      <c r="G90">
        <v>16.5</v>
      </c>
      <c r="I90" s="102">
        <f t="shared" si="11"/>
        <v>126.5893900862774</v>
      </c>
      <c r="J90" s="103">
        <f t="shared" si="14"/>
        <v>26.457182528031975</v>
      </c>
      <c r="K90" s="75">
        <f t="shared" si="12"/>
        <v>265.51735475209529</v>
      </c>
      <c r="L90" s="75">
        <f t="shared" si="15"/>
        <v>199.15494423433137</v>
      </c>
      <c r="M90" s="102">
        <f t="shared" si="13"/>
        <v>10.234337474677631</v>
      </c>
      <c r="N90" s="102">
        <f t="shared" si="16"/>
        <v>319.82304608367593</v>
      </c>
    </row>
    <row r="91" spans="1:14">
      <c r="A91" s="101">
        <v>40413</v>
      </c>
      <c r="B91" t="s">
        <v>163</v>
      </c>
      <c r="C91">
        <v>11.701000000000001</v>
      </c>
      <c r="D91">
        <v>352.78699999999998</v>
      </c>
      <c r="E91">
        <v>28.09</v>
      </c>
      <c r="F91">
        <v>2995</v>
      </c>
      <c r="G91">
        <v>16.5</v>
      </c>
      <c r="I91" s="102">
        <f t="shared" si="11"/>
        <v>126.7039785082179</v>
      </c>
      <c r="J91" s="103">
        <f t="shared" si="14"/>
        <v>26.48113150821754</v>
      </c>
      <c r="K91" s="75">
        <f t="shared" si="12"/>
        <v>265.75770044503304</v>
      </c>
      <c r="L91" s="75">
        <f t="shared" si="15"/>
        <v>199.33521882737509</v>
      </c>
      <c r="M91" s="102">
        <f t="shared" si="13"/>
        <v>10.243601573193555</v>
      </c>
      <c r="N91" s="102">
        <f t="shared" si="16"/>
        <v>320.11254916229859</v>
      </c>
    </row>
    <row r="92" spans="1:14">
      <c r="A92" s="101">
        <v>40413</v>
      </c>
      <c r="B92" t="s">
        <v>164</v>
      </c>
      <c r="C92">
        <v>11.868</v>
      </c>
      <c r="D92">
        <v>352.78699999999998</v>
      </c>
      <c r="E92">
        <v>28.09</v>
      </c>
      <c r="F92">
        <v>2984</v>
      </c>
      <c r="G92">
        <v>16.5</v>
      </c>
      <c r="I92" s="102">
        <f t="shared" si="11"/>
        <v>126.7039785082179</v>
      </c>
      <c r="J92" s="103">
        <f t="shared" si="14"/>
        <v>26.48113150821754</v>
      </c>
      <c r="K92" s="75">
        <f t="shared" si="12"/>
        <v>265.75770044503304</v>
      </c>
      <c r="L92" s="75">
        <f t="shared" si="15"/>
        <v>199.33521882737509</v>
      </c>
      <c r="M92" s="102">
        <f t="shared" si="13"/>
        <v>10.243601573193555</v>
      </c>
      <c r="N92" s="102">
        <f t="shared" si="16"/>
        <v>320.11254916229859</v>
      </c>
    </row>
    <row r="93" spans="1:14">
      <c r="A93" s="101">
        <v>40413</v>
      </c>
      <c r="B93" t="s">
        <v>165</v>
      </c>
      <c r="C93">
        <v>12.034000000000001</v>
      </c>
      <c r="D93">
        <v>354.06299999999999</v>
      </c>
      <c r="E93">
        <v>28.05</v>
      </c>
      <c r="F93">
        <v>2987</v>
      </c>
      <c r="G93">
        <v>16.5</v>
      </c>
      <c r="I93" s="102">
        <f t="shared" si="11"/>
        <v>127.16355612797233</v>
      </c>
      <c r="J93" s="103">
        <f t="shared" si="14"/>
        <v>26.577183230746215</v>
      </c>
      <c r="K93" s="75">
        <f t="shared" si="12"/>
        <v>266.7216503765186</v>
      </c>
      <c r="L93" s="75">
        <f t="shared" si="15"/>
        <v>200.05824273302125</v>
      </c>
      <c r="M93" s="102">
        <f t="shared" si="13"/>
        <v>10.280756918149164</v>
      </c>
      <c r="N93" s="102">
        <f t="shared" si="16"/>
        <v>321.27365369216136</v>
      </c>
    </row>
    <row r="94" spans="1:14">
      <c r="A94" s="101">
        <v>40413</v>
      </c>
      <c r="B94" t="s">
        <v>166</v>
      </c>
      <c r="C94">
        <v>12.201000000000001</v>
      </c>
      <c r="D94">
        <v>356.63200000000001</v>
      </c>
      <c r="E94">
        <v>27.97</v>
      </c>
      <c r="F94">
        <v>2981</v>
      </c>
      <c r="G94">
        <v>16.5</v>
      </c>
      <c r="I94" s="102">
        <f t="shared" si="11"/>
        <v>128.08862190008469</v>
      </c>
      <c r="J94" s="103">
        <f t="shared" si="14"/>
        <v>26.770521977117696</v>
      </c>
      <c r="K94" s="75">
        <f t="shared" si="12"/>
        <v>268.6619473999545</v>
      </c>
      <c r="L94" s="75">
        <f t="shared" si="15"/>
        <v>201.51358920504831</v>
      </c>
      <c r="M94" s="102">
        <f t="shared" si="13"/>
        <v>10.355545455258145</v>
      </c>
      <c r="N94" s="102">
        <f t="shared" si="16"/>
        <v>323.61079547681703</v>
      </c>
    </row>
    <row r="95" spans="1:14">
      <c r="A95" s="101">
        <v>40413</v>
      </c>
      <c r="B95" t="s">
        <v>167</v>
      </c>
      <c r="C95">
        <v>12.368</v>
      </c>
      <c r="D95">
        <v>351.74299999999999</v>
      </c>
      <c r="E95">
        <v>28.08</v>
      </c>
      <c r="F95">
        <v>2978</v>
      </c>
      <c r="G95">
        <v>16.600000000000001</v>
      </c>
      <c r="I95" s="102">
        <f t="shared" si="11"/>
        <v>126.57646684178194</v>
      </c>
      <c r="J95" s="103">
        <f t="shared" si="14"/>
        <v>26.454481569932423</v>
      </c>
      <c r="K95" s="75">
        <f t="shared" si="12"/>
        <v>265.4584219715781</v>
      </c>
      <c r="L95" s="75">
        <f t="shared" si="15"/>
        <v>199.11074089165936</v>
      </c>
      <c r="M95" s="102">
        <f t="shared" si="13"/>
        <v>10.213689484343377</v>
      </c>
      <c r="N95" s="102">
        <f t="shared" si="16"/>
        <v>319.17779638573052</v>
      </c>
    </row>
    <row r="96" spans="1:14">
      <c r="A96" s="101">
        <v>40413</v>
      </c>
      <c r="B96" t="s">
        <v>168</v>
      </c>
      <c r="C96">
        <v>12.535</v>
      </c>
      <c r="D96">
        <v>352.37900000000002</v>
      </c>
      <c r="E96">
        <v>28.06</v>
      </c>
      <c r="F96">
        <v>2984</v>
      </c>
      <c r="G96">
        <v>16.600000000000001</v>
      </c>
      <c r="I96" s="102">
        <f t="shared" si="11"/>
        <v>126.8058289105211</v>
      </c>
      <c r="J96" s="103">
        <f t="shared" si="14"/>
        <v>26.502418242298909</v>
      </c>
      <c r="K96" s="75">
        <f t="shared" si="12"/>
        <v>265.93944418958444</v>
      </c>
      <c r="L96" s="75">
        <f t="shared" si="15"/>
        <v>199.47153822293726</v>
      </c>
      <c r="M96" s="102">
        <f t="shared" si="13"/>
        <v>10.232197134367429</v>
      </c>
      <c r="N96" s="102">
        <f t="shared" si="16"/>
        <v>319.75616044898214</v>
      </c>
    </row>
    <row r="97" spans="1:14">
      <c r="A97" s="101">
        <v>40413</v>
      </c>
      <c r="B97" t="s">
        <v>169</v>
      </c>
      <c r="C97">
        <v>12.702</v>
      </c>
      <c r="D97">
        <v>357.51299999999998</v>
      </c>
      <c r="E97">
        <v>27.9</v>
      </c>
      <c r="F97">
        <v>2984</v>
      </c>
      <c r="G97">
        <v>16.600000000000001</v>
      </c>
      <c r="I97" s="102">
        <f t="shared" si="11"/>
        <v>128.65848237079229</v>
      </c>
      <c r="J97" s="103">
        <f t="shared" si="14"/>
        <v>26.889622815495585</v>
      </c>
      <c r="K97" s="75">
        <f t="shared" si="12"/>
        <v>269.82486204248215</v>
      </c>
      <c r="L97" s="75">
        <f t="shared" si="15"/>
        <v>202.38584932905457</v>
      </c>
      <c r="M97" s="102">
        <f t="shared" si="13"/>
        <v>10.381691172536126</v>
      </c>
      <c r="N97" s="102">
        <f t="shared" si="16"/>
        <v>324.42784914175394</v>
      </c>
    </row>
    <row r="98" spans="1:14">
      <c r="A98" s="101">
        <v>40413</v>
      </c>
      <c r="B98" t="s">
        <v>170</v>
      </c>
      <c r="C98">
        <v>12.869</v>
      </c>
      <c r="D98">
        <v>354.29399999999998</v>
      </c>
      <c r="E98">
        <v>28</v>
      </c>
      <c r="F98">
        <v>2979</v>
      </c>
      <c r="G98">
        <v>16.600000000000001</v>
      </c>
      <c r="I98" s="102">
        <f t="shared" si="11"/>
        <v>127.49686081743135</v>
      </c>
      <c r="J98" s="103">
        <f t="shared" si="14"/>
        <v>26.646843910843149</v>
      </c>
      <c r="K98" s="75">
        <f t="shared" si="12"/>
        <v>267.38868861959133</v>
      </c>
      <c r="L98" s="75">
        <f t="shared" si="15"/>
        <v>200.55856394262861</v>
      </c>
      <c r="M98" s="102">
        <f t="shared" si="13"/>
        <v>10.28795777848287</v>
      </c>
      <c r="N98" s="102">
        <f t="shared" si="16"/>
        <v>321.49868057758965</v>
      </c>
    </row>
    <row r="99" spans="1:14">
      <c r="A99" s="101">
        <v>40413</v>
      </c>
      <c r="B99" t="s">
        <v>171</v>
      </c>
      <c r="C99">
        <v>13.036</v>
      </c>
      <c r="D99">
        <v>355.25599999999997</v>
      </c>
      <c r="E99">
        <v>27.97</v>
      </c>
      <c r="F99">
        <v>2980</v>
      </c>
      <c r="G99">
        <v>16.600000000000001</v>
      </c>
      <c r="I99" s="102">
        <f t="shared" si="11"/>
        <v>127.84404223284211</v>
      </c>
      <c r="J99" s="103">
        <f t="shared" si="14"/>
        <v>26.719404826664</v>
      </c>
      <c r="K99" s="75">
        <f t="shared" si="12"/>
        <v>268.11680367108823</v>
      </c>
      <c r="L99" s="75">
        <f t="shared" si="15"/>
        <v>201.10469665253163</v>
      </c>
      <c r="M99" s="102">
        <f t="shared" si="13"/>
        <v>10.315972489749642</v>
      </c>
      <c r="N99" s="102">
        <f t="shared" si="16"/>
        <v>322.3741403046763</v>
      </c>
    </row>
    <row r="100" spans="1:14">
      <c r="A100" s="101">
        <v>40413</v>
      </c>
      <c r="B100" t="s">
        <v>172</v>
      </c>
      <c r="C100">
        <v>13.202999999999999</v>
      </c>
      <c r="D100">
        <v>357.83699999999999</v>
      </c>
      <c r="E100">
        <v>27.89</v>
      </c>
      <c r="F100">
        <v>2970</v>
      </c>
      <c r="G100">
        <v>16.600000000000001</v>
      </c>
      <c r="I100" s="102">
        <f t="shared" si="11"/>
        <v>128.77533067946538</v>
      </c>
      <c r="J100" s="103">
        <f t="shared" si="14"/>
        <v>26.914044112008263</v>
      </c>
      <c r="K100" s="75">
        <f t="shared" si="12"/>
        <v>270.06991839777743</v>
      </c>
      <c r="L100" s="75">
        <f t="shared" si="15"/>
        <v>202.5696572191967</v>
      </c>
      <c r="M100" s="102">
        <f t="shared" si="13"/>
        <v>10.391119878924727</v>
      </c>
      <c r="N100" s="102">
        <f t="shared" si="16"/>
        <v>324.7224962163977</v>
      </c>
    </row>
    <row r="101" spans="1:14">
      <c r="A101" s="101">
        <v>40413</v>
      </c>
      <c r="B101" t="s">
        <v>173</v>
      </c>
      <c r="C101">
        <v>13.37</v>
      </c>
      <c r="D101">
        <v>358.161</v>
      </c>
      <c r="E101">
        <v>27.88</v>
      </c>
      <c r="F101">
        <v>2971</v>
      </c>
      <c r="G101">
        <v>16.600000000000001</v>
      </c>
      <c r="I101" s="102">
        <f t="shared" si="11"/>
        <v>128.89230444271908</v>
      </c>
      <c r="J101" s="103">
        <f t="shared" si="14"/>
        <v>26.938491628528286</v>
      </c>
      <c r="K101" s="75">
        <f t="shared" si="12"/>
        <v>270.31523785865494</v>
      </c>
      <c r="L101" s="75">
        <f t="shared" si="15"/>
        <v>202.75366245529989</v>
      </c>
      <c r="M101" s="102">
        <f t="shared" si="13"/>
        <v>10.400558708475732</v>
      </c>
      <c r="N101" s="102">
        <f t="shared" si="16"/>
        <v>325.01745963986662</v>
      </c>
    </row>
    <row r="102" spans="1:14">
      <c r="A102" s="101">
        <v>40413</v>
      </c>
      <c r="B102" t="s">
        <v>174</v>
      </c>
      <c r="C102">
        <v>13.537000000000001</v>
      </c>
      <c r="D102">
        <v>359.46100000000001</v>
      </c>
      <c r="E102">
        <v>27.84</v>
      </c>
      <c r="F102">
        <v>2973</v>
      </c>
      <c r="G102">
        <v>16.600000000000001</v>
      </c>
      <c r="I102" s="102">
        <f t="shared" ref="I102:I122" si="17">(-((TAN(E102*PI()/180))/(TAN(($B$7+($B$14*(G102-$E$7)))*PI()/180))*($H$13+($B$15*(G102-$E$8)))+(TAN(E102*PI()/180))/(TAN(($B$7+($B$14*(G102-$E$7)))*PI()/180))*1/$B$16*($H$13+($B$15*(G102-$E$8)))-$B$13*1/$B$16*($H$13+($B$15*(G102-$E$8)))-($H$13+($B$15*(G102-$E$8)))+$B$13*($H$13+($B$15*(G102-$E$8))))+(SQRT((POWER(((TAN(E102*PI()/180))/(TAN(($B$7+($B$14*(G102-$E$7)))*PI()/180))*($H$13+($B$15*(G102-$E$8)))+(TAN(E102*PI()/180))/(TAN(($B$7+($B$14*(G102-$E$7)))*PI()/180))*1/$B$16*($H$13+($B$15*(G102-$E$8)))-$B$13*1/$B$16*($H$13+($B$15*(G102-$E$8)))-($H$13+($B$15*(G102-$E$8)))+$B$13*($H$13+($B$15*(G102-$E$8)))),2))-4*((TAN(E102*PI()/180))/(TAN(($B$7+($B$14*(G102-$E$7)))*PI()/180))*1/$B$16*POWER(($H$13+($B$15*(G102-$E$8))),2))*((TAN(E102*PI()/180))/(TAN(($B$7+($B$14*(G102-$E$7)))*PI()/180))-1))))/(2*((TAN(E102*PI()/180))/(TAN(($B$7+($B$14*(G102-$E$7)))*PI()/180))*1/$B$16*POWER(($H$13+($B$15*(G102-$E$8))),2)))</f>
        <v>129.36145756099663</v>
      </c>
      <c r="J102" s="103">
        <f t="shared" si="14"/>
        <v>27.036544630248294</v>
      </c>
      <c r="K102" s="75">
        <f t="shared" ref="K102:K122" si="18">($B$9-EXP(52.57-6690.9/(273.15+G102)-4.681*LN(273.15+G102)))*I102/100*0.2095</f>
        <v>271.29915413905383</v>
      </c>
      <c r="L102" s="75">
        <f t="shared" si="15"/>
        <v>203.49166239559398</v>
      </c>
      <c r="M102" s="102">
        <f t="shared" ref="M102:M122" si="19">(($B$9-EXP(52.57-6690.9/(273.15+G102)-4.681*LN(273.15+G102)))/1013)*I102/100*0.2095*((49-1.335*G102+0.02759*POWER(G102,2)-0.0003235*POWER(G102,3)+0.000001614*POWER(G102,4))
-($J$16*(5.516*10^-1-1.759*10^-2*G102+2.253*10^-4*POWER(G102,2)-2.654*10^-7*POWER(G102,3)+5.363*10^-8*POWER(G102,4))))*32/22.414</f>
        <v>10.438415542295308</v>
      </c>
      <c r="N102" s="102">
        <f t="shared" si="16"/>
        <v>326.20048569672838</v>
      </c>
    </row>
    <row r="103" spans="1:14">
      <c r="A103" s="101">
        <v>40413</v>
      </c>
      <c r="B103" t="s">
        <v>175</v>
      </c>
      <c r="C103">
        <v>13.704000000000001</v>
      </c>
      <c r="D103">
        <v>358.161</v>
      </c>
      <c r="E103">
        <v>27.88</v>
      </c>
      <c r="F103">
        <v>2961</v>
      </c>
      <c r="G103">
        <v>16.600000000000001</v>
      </c>
      <c r="I103" s="102">
        <f t="shared" si="17"/>
        <v>128.89230444271908</v>
      </c>
      <c r="J103" s="103">
        <f t="shared" si="14"/>
        <v>26.938491628528286</v>
      </c>
      <c r="K103" s="75">
        <f t="shared" si="18"/>
        <v>270.31523785865494</v>
      </c>
      <c r="L103" s="75">
        <f t="shared" si="15"/>
        <v>202.75366245529989</v>
      </c>
      <c r="M103" s="102">
        <f t="shared" si="19"/>
        <v>10.400558708475732</v>
      </c>
      <c r="N103" s="102">
        <f t="shared" si="16"/>
        <v>325.01745963986662</v>
      </c>
    </row>
    <row r="104" spans="1:14">
      <c r="A104" s="101">
        <v>40413</v>
      </c>
      <c r="B104" t="s">
        <v>176</v>
      </c>
      <c r="C104">
        <v>13.87</v>
      </c>
      <c r="D104">
        <v>356.86700000000002</v>
      </c>
      <c r="E104">
        <v>27.92</v>
      </c>
      <c r="F104">
        <v>2968</v>
      </c>
      <c r="G104">
        <v>16.600000000000001</v>
      </c>
      <c r="I104" s="102">
        <f t="shared" si="17"/>
        <v>128.42516141553344</v>
      </c>
      <c r="J104" s="103">
        <f t="shared" si="14"/>
        <v>26.840858735846485</v>
      </c>
      <c r="K104" s="75">
        <f t="shared" si="18"/>
        <v>269.33553717711567</v>
      </c>
      <c r="L104" s="75">
        <f t="shared" si="15"/>
        <v>202.01882448291778</v>
      </c>
      <c r="M104" s="102">
        <f t="shared" si="19"/>
        <v>10.362864072628343</v>
      </c>
      <c r="N104" s="102">
        <f t="shared" si="16"/>
        <v>323.83950226963572</v>
      </c>
    </row>
    <row r="105" spans="1:14">
      <c r="A105" s="101">
        <v>40413</v>
      </c>
      <c r="B105" t="s">
        <v>177</v>
      </c>
      <c r="C105">
        <v>14.037000000000001</v>
      </c>
      <c r="D105">
        <v>359.13600000000002</v>
      </c>
      <c r="E105">
        <v>27.85</v>
      </c>
      <c r="F105">
        <v>2964</v>
      </c>
      <c r="G105">
        <v>16.600000000000001</v>
      </c>
      <c r="I105" s="102">
        <f t="shared" si="17"/>
        <v>129.24398021899106</v>
      </c>
      <c r="J105" s="103">
        <f t="shared" si="14"/>
        <v>27.011991865769129</v>
      </c>
      <c r="K105" s="75">
        <f t="shared" si="18"/>
        <v>271.05277856384367</v>
      </c>
      <c r="L105" s="75">
        <f t="shared" si="15"/>
        <v>203.30686500640829</v>
      </c>
      <c r="M105" s="102">
        <f t="shared" si="19"/>
        <v>10.428936078042362</v>
      </c>
      <c r="N105" s="102">
        <f t="shared" si="16"/>
        <v>325.90425243882379</v>
      </c>
    </row>
    <row r="106" spans="1:14">
      <c r="A106" s="101">
        <v>40413</v>
      </c>
      <c r="B106" t="s">
        <v>178</v>
      </c>
      <c r="C106">
        <v>14.204000000000001</v>
      </c>
      <c r="D106">
        <v>357.19</v>
      </c>
      <c r="E106">
        <v>27.91</v>
      </c>
      <c r="F106">
        <v>2967</v>
      </c>
      <c r="G106">
        <v>16.600000000000001</v>
      </c>
      <c r="I106" s="102">
        <f t="shared" si="17"/>
        <v>128.54175934121628</v>
      </c>
      <c r="J106" s="103">
        <f t="shared" si="14"/>
        <v>26.865227702314201</v>
      </c>
      <c r="K106" s="75">
        <f t="shared" si="18"/>
        <v>269.5800684247418</v>
      </c>
      <c r="L106" s="75">
        <f t="shared" si="15"/>
        <v>202.20223850882959</v>
      </c>
      <c r="M106" s="102">
        <f t="shared" si="19"/>
        <v>10.372272575149839</v>
      </c>
      <c r="N106" s="102">
        <f t="shared" si="16"/>
        <v>324.1335179734325</v>
      </c>
    </row>
    <row r="107" spans="1:14">
      <c r="A107" s="101">
        <v>40413</v>
      </c>
      <c r="B107" t="s">
        <v>179</v>
      </c>
      <c r="C107">
        <v>14.371</v>
      </c>
      <c r="D107">
        <v>358.81</v>
      </c>
      <c r="E107">
        <v>27.86</v>
      </c>
      <c r="F107">
        <v>2958</v>
      </c>
      <c r="G107">
        <v>16.600000000000001</v>
      </c>
      <c r="I107" s="102">
        <f t="shared" si="17"/>
        <v>129.12662903629894</v>
      </c>
      <c r="J107" s="103">
        <f t="shared" si="14"/>
        <v>26.987465468586475</v>
      </c>
      <c r="K107" s="75">
        <f t="shared" si="18"/>
        <v>270.80666757219399</v>
      </c>
      <c r="L107" s="75">
        <f t="shared" si="15"/>
        <v>203.12226607176157</v>
      </c>
      <c r="M107" s="102">
        <f t="shared" si="19"/>
        <v>10.419466793818023</v>
      </c>
      <c r="N107" s="102">
        <f t="shared" si="16"/>
        <v>325.60833730681321</v>
      </c>
    </row>
    <row r="108" spans="1:14">
      <c r="A108" s="101">
        <v>40413</v>
      </c>
      <c r="B108" t="s">
        <v>180</v>
      </c>
      <c r="C108">
        <v>14.538</v>
      </c>
      <c r="D108">
        <v>362.07799999999997</v>
      </c>
      <c r="E108">
        <v>27.76</v>
      </c>
      <c r="F108">
        <v>2956</v>
      </c>
      <c r="G108">
        <v>16.600000000000001</v>
      </c>
      <c r="I108" s="102">
        <f t="shared" si="17"/>
        <v>130.30583931790974</v>
      </c>
      <c r="J108" s="103">
        <f t="shared" si="14"/>
        <v>27.233920417443134</v>
      </c>
      <c r="K108" s="75">
        <f t="shared" si="18"/>
        <v>273.27972838941804</v>
      </c>
      <c r="L108" s="75">
        <f t="shared" si="15"/>
        <v>204.97721935570874</v>
      </c>
      <c r="M108" s="102">
        <f t="shared" si="19"/>
        <v>10.514619454921863</v>
      </c>
      <c r="N108" s="102">
        <f t="shared" si="16"/>
        <v>328.58185796630823</v>
      </c>
    </row>
    <row r="109" spans="1:14">
      <c r="A109" s="101">
        <v>40413</v>
      </c>
      <c r="B109" t="s">
        <v>181</v>
      </c>
      <c r="C109">
        <v>14.705</v>
      </c>
      <c r="D109">
        <v>357.19</v>
      </c>
      <c r="E109">
        <v>27.91</v>
      </c>
      <c r="F109">
        <v>2961</v>
      </c>
      <c r="G109">
        <v>16.600000000000001</v>
      </c>
      <c r="I109" s="102">
        <f t="shared" si="17"/>
        <v>128.54175934121628</v>
      </c>
      <c r="J109" s="103">
        <f t="shared" si="14"/>
        <v>26.865227702314201</v>
      </c>
      <c r="K109" s="75">
        <f t="shared" si="18"/>
        <v>269.5800684247418</v>
      </c>
      <c r="L109" s="75">
        <f t="shared" si="15"/>
        <v>202.20223850882959</v>
      </c>
      <c r="M109" s="102">
        <f t="shared" si="19"/>
        <v>10.372272575149839</v>
      </c>
      <c r="N109" s="102">
        <f t="shared" si="16"/>
        <v>324.1335179734325</v>
      </c>
    </row>
    <row r="110" spans="1:14">
      <c r="A110" s="101">
        <v>40413</v>
      </c>
      <c r="B110" t="s">
        <v>182</v>
      </c>
      <c r="C110">
        <v>14.872</v>
      </c>
      <c r="D110">
        <v>360.113</v>
      </c>
      <c r="E110">
        <v>27.82</v>
      </c>
      <c r="F110">
        <v>2946</v>
      </c>
      <c r="G110">
        <v>16.600000000000001</v>
      </c>
      <c r="I110" s="102">
        <f t="shared" si="17"/>
        <v>129.59679143077224</v>
      </c>
      <c r="J110" s="103">
        <f t="shared" si="14"/>
        <v>27.085729409031398</v>
      </c>
      <c r="K110" s="75">
        <f t="shared" si="18"/>
        <v>271.79270052461692</v>
      </c>
      <c r="L110" s="75">
        <f t="shared" si="15"/>
        <v>203.86185365102301</v>
      </c>
      <c r="M110" s="102">
        <f t="shared" si="19"/>
        <v>10.457405068002654</v>
      </c>
      <c r="N110" s="102">
        <f t="shared" si="16"/>
        <v>326.79390837508294</v>
      </c>
    </row>
    <row r="111" spans="1:14">
      <c r="A111" s="101">
        <v>40413</v>
      </c>
      <c r="B111" t="s">
        <v>183</v>
      </c>
      <c r="C111">
        <v>15.039</v>
      </c>
      <c r="D111">
        <v>363.81</v>
      </c>
      <c r="E111">
        <v>27.75</v>
      </c>
      <c r="F111">
        <v>2959</v>
      </c>
      <c r="G111">
        <v>16.5</v>
      </c>
      <c r="I111" s="102">
        <f t="shared" si="17"/>
        <v>130.67383786726234</v>
      </c>
      <c r="J111" s="103">
        <f t="shared" si="14"/>
        <v>27.310832114257828</v>
      </c>
      <c r="K111" s="75">
        <f t="shared" si="18"/>
        <v>274.0843584298209</v>
      </c>
      <c r="L111" s="75">
        <f t="shared" si="15"/>
        <v>205.58074318553642</v>
      </c>
      <c r="M111" s="102">
        <f t="shared" si="19"/>
        <v>10.564551696894895</v>
      </c>
      <c r="N111" s="102">
        <f t="shared" si="16"/>
        <v>330.1422405279655</v>
      </c>
    </row>
    <row r="112" spans="1:14">
      <c r="A112" s="101">
        <v>40413</v>
      </c>
      <c r="B112" t="s">
        <v>184</v>
      </c>
      <c r="C112">
        <v>15.206</v>
      </c>
      <c r="D112">
        <v>363.48</v>
      </c>
      <c r="E112">
        <v>27.76</v>
      </c>
      <c r="F112">
        <v>2953</v>
      </c>
      <c r="G112">
        <v>16.5</v>
      </c>
      <c r="I112" s="102">
        <f t="shared" si="17"/>
        <v>130.55499655554434</v>
      </c>
      <c r="J112" s="103">
        <f t="shared" si="14"/>
        <v>27.285994280108767</v>
      </c>
      <c r="K112" s="75">
        <f t="shared" si="18"/>
        <v>273.8350924312951</v>
      </c>
      <c r="L112" s="75">
        <f t="shared" si="15"/>
        <v>205.39377779458385</v>
      </c>
      <c r="M112" s="102">
        <f t="shared" si="19"/>
        <v>10.554943766173162</v>
      </c>
      <c r="N112" s="102">
        <f t="shared" si="16"/>
        <v>329.84199269291133</v>
      </c>
    </row>
    <row r="113" spans="1:14">
      <c r="A113" s="101">
        <v>40413</v>
      </c>
      <c r="B113" t="s">
        <v>185</v>
      </c>
      <c r="C113">
        <v>15.372999999999999</v>
      </c>
      <c r="D113">
        <v>364.80200000000002</v>
      </c>
      <c r="E113">
        <v>27.72</v>
      </c>
      <c r="F113">
        <v>2948</v>
      </c>
      <c r="G113">
        <v>16.5</v>
      </c>
      <c r="I113" s="102">
        <f t="shared" si="17"/>
        <v>131.03113158007469</v>
      </c>
      <c r="J113" s="103">
        <f t="shared" si="14"/>
        <v>27.385506500235607</v>
      </c>
      <c r="K113" s="75">
        <f t="shared" si="18"/>
        <v>274.83377101037627</v>
      </c>
      <c r="L113" s="75">
        <f t="shared" si="15"/>
        <v>206.14285040006621</v>
      </c>
      <c r="M113" s="102">
        <f t="shared" si="19"/>
        <v>10.593437723061937</v>
      </c>
      <c r="N113" s="102">
        <f t="shared" si="16"/>
        <v>331.04492884568555</v>
      </c>
    </row>
    <row r="114" spans="1:14">
      <c r="A114" s="101">
        <v>40413</v>
      </c>
      <c r="B114" t="s">
        <v>186</v>
      </c>
      <c r="C114">
        <v>15.54</v>
      </c>
      <c r="D114">
        <v>366.13</v>
      </c>
      <c r="E114">
        <v>27.68</v>
      </c>
      <c r="F114">
        <v>2947</v>
      </c>
      <c r="G114">
        <v>16.5</v>
      </c>
      <c r="I114" s="102">
        <f t="shared" si="17"/>
        <v>131.50932608504078</v>
      </c>
      <c r="J114" s="103">
        <f t="shared" si="14"/>
        <v>27.485449151773523</v>
      </c>
      <c r="K114" s="75">
        <f t="shared" si="18"/>
        <v>275.8367692863697</v>
      </c>
      <c r="L114" s="75">
        <f t="shared" si="15"/>
        <v>206.89516305363682</v>
      </c>
      <c r="M114" s="102">
        <f t="shared" si="19"/>
        <v>10.632098182196973</v>
      </c>
      <c r="N114" s="102">
        <f t="shared" si="16"/>
        <v>332.25306819365539</v>
      </c>
    </row>
    <row r="115" spans="1:14">
      <c r="A115" s="101">
        <v>40413</v>
      </c>
      <c r="B115" t="s">
        <v>187</v>
      </c>
      <c r="C115">
        <v>15.706</v>
      </c>
      <c r="D115">
        <v>363.15</v>
      </c>
      <c r="E115">
        <v>27.77</v>
      </c>
      <c r="F115">
        <v>2939</v>
      </c>
      <c r="G115">
        <v>16.5</v>
      </c>
      <c r="I115" s="102">
        <f t="shared" si="17"/>
        <v>130.43628324028646</v>
      </c>
      <c r="J115" s="103">
        <f t="shared" si="14"/>
        <v>27.261183197219864</v>
      </c>
      <c r="K115" s="75">
        <f t="shared" si="18"/>
        <v>273.58609490141015</v>
      </c>
      <c r="L115" s="75">
        <f t="shared" si="15"/>
        <v>205.20701377222824</v>
      </c>
      <c r="M115" s="102">
        <f t="shared" si="19"/>
        <v>10.545346183545906</v>
      </c>
      <c r="N115" s="102">
        <f t="shared" si="16"/>
        <v>329.54206823580955</v>
      </c>
    </row>
    <row r="116" spans="1:14">
      <c r="A116" s="101">
        <v>40413</v>
      </c>
      <c r="B116" t="s">
        <v>188</v>
      </c>
      <c r="C116">
        <v>15.872999999999999</v>
      </c>
      <c r="D116">
        <v>367.12900000000002</v>
      </c>
      <c r="E116">
        <v>27.65</v>
      </c>
      <c r="F116">
        <v>2939</v>
      </c>
      <c r="G116">
        <v>16.5</v>
      </c>
      <c r="I116" s="102">
        <f t="shared" si="17"/>
        <v>131.86933047620542</v>
      </c>
      <c r="J116" s="103">
        <f t="shared" si="14"/>
        <v>27.560690069526931</v>
      </c>
      <c r="K116" s="75">
        <f t="shared" si="18"/>
        <v>276.59186743145131</v>
      </c>
      <c r="L116" s="75">
        <f t="shared" si="15"/>
        <v>207.46153480404681</v>
      </c>
      <c r="M116" s="102">
        <f t="shared" si="19"/>
        <v>10.661203357828466</v>
      </c>
      <c r="N116" s="102">
        <f t="shared" si="16"/>
        <v>333.16260493213957</v>
      </c>
    </row>
    <row r="117" spans="1:14">
      <c r="A117" s="101">
        <v>40413</v>
      </c>
      <c r="B117" t="s">
        <v>189</v>
      </c>
      <c r="C117">
        <v>16.04</v>
      </c>
      <c r="D117">
        <v>365.46499999999997</v>
      </c>
      <c r="E117">
        <v>27.7</v>
      </c>
      <c r="F117">
        <v>2941</v>
      </c>
      <c r="G117">
        <v>16.5</v>
      </c>
      <c r="I117" s="102">
        <f t="shared" si="17"/>
        <v>131.26997067391909</v>
      </c>
      <c r="J117" s="103">
        <f t="shared" si="14"/>
        <v>27.435423870849089</v>
      </c>
      <c r="K117" s="75">
        <f t="shared" si="18"/>
        <v>275.33472866856334</v>
      </c>
      <c r="L117" s="75">
        <f t="shared" si="15"/>
        <v>206.518600582472</v>
      </c>
      <c r="M117" s="102">
        <f t="shared" si="19"/>
        <v>10.612747081349262</v>
      </c>
      <c r="N117" s="102">
        <f t="shared" si="16"/>
        <v>331.64834629216443</v>
      </c>
    </row>
    <row r="118" spans="1:14">
      <c r="A118" s="101">
        <v>40413</v>
      </c>
      <c r="B118" t="s">
        <v>190</v>
      </c>
      <c r="C118">
        <v>16.207000000000001</v>
      </c>
      <c r="D118">
        <v>368.13200000000001</v>
      </c>
      <c r="E118">
        <v>27.62</v>
      </c>
      <c r="F118">
        <v>2932</v>
      </c>
      <c r="G118">
        <v>16.5</v>
      </c>
      <c r="I118" s="102">
        <f t="shared" si="17"/>
        <v>132.23050477474385</v>
      </c>
      <c r="J118" s="103">
        <f t="shared" si="14"/>
        <v>27.636175497921464</v>
      </c>
      <c r="K118" s="75">
        <f t="shared" si="18"/>
        <v>277.34941942129041</v>
      </c>
      <c r="L118" s="75">
        <f t="shared" si="15"/>
        <v>208.02974709447082</v>
      </c>
      <c r="M118" s="102">
        <f t="shared" si="19"/>
        <v>10.690403116638448</v>
      </c>
      <c r="N118" s="102">
        <f t="shared" si="16"/>
        <v>334.07509739495151</v>
      </c>
    </row>
    <row r="119" spans="1:14">
      <c r="A119" s="101">
        <v>40413</v>
      </c>
      <c r="B119" t="s">
        <v>191</v>
      </c>
      <c r="C119">
        <v>16.373999999999999</v>
      </c>
      <c r="D119">
        <v>365.46499999999997</v>
      </c>
      <c r="E119">
        <v>27.7</v>
      </c>
      <c r="F119">
        <v>2934</v>
      </c>
      <c r="G119">
        <v>16.5</v>
      </c>
      <c r="I119" s="102">
        <f t="shared" si="17"/>
        <v>131.26997067391909</v>
      </c>
      <c r="J119" s="103">
        <f t="shared" si="14"/>
        <v>27.435423870849089</v>
      </c>
      <c r="K119" s="75">
        <f t="shared" si="18"/>
        <v>275.33472866856334</v>
      </c>
      <c r="L119" s="75">
        <f t="shared" si="15"/>
        <v>206.518600582472</v>
      </c>
      <c r="M119" s="102">
        <f t="shared" si="19"/>
        <v>10.612747081349262</v>
      </c>
      <c r="N119" s="102">
        <f t="shared" si="16"/>
        <v>331.64834629216443</v>
      </c>
    </row>
    <row r="120" spans="1:14">
      <c r="A120" s="101">
        <v>40413</v>
      </c>
      <c r="B120" t="s">
        <v>192</v>
      </c>
      <c r="C120">
        <v>16.541</v>
      </c>
      <c r="D120">
        <v>368.46699999999998</v>
      </c>
      <c r="E120">
        <v>27.61</v>
      </c>
      <c r="F120">
        <v>2937</v>
      </c>
      <c r="G120">
        <v>16.5</v>
      </c>
      <c r="I120" s="102">
        <f t="shared" si="17"/>
        <v>132.35115704134282</v>
      </c>
      <c r="J120" s="103">
        <f t="shared" si="14"/>
        <v>27.661391821640645</v>
      </c>
      <c r="K120" s="75">
        <f t="shared" si="18"/>
        <v>277.60248384201606</v>
      </c>
      <c r="L120" s="75">
        <f t="shared" si="15"/>
        <v>208.21956154424331</v>
      </c>
      <c r="M120" s="102">
        <f t="shared" si="19"/>
        <v>10.700157457129519</v>
      </c>
      <c r="N120" s="102">
        <f t="shared" si="16"/>
        <v>334.37992053529746</v>
      </c>
    </row>
    <row r="121" spans="1:14">
      <c r="A121" s="101">
        <v>40413</v>
      </c>
      <c r="B121" t="s">
        <v>193</v>
      </c>
      <c r="C121">
        <v>16.707999999999998</v>
      </c>
      <c r="D121">
        <v>369.13799999999998</v>
      </c>
      <c r="E121">
        <v>27.59</v>
      </c>
      <c r="F121">
        <v>2930</v>
      </c>
      <c r="G121">
        <v>16.5</v>
      </c>
      <c r="I121" s="102">
        <f t="shared" si="17"/>
        <v>132.59285392755152</v>
      </c>
      <c r="J121" s="103">
        <f t="shared" si="14"/>
        <v>27.711906470858267</v>
      </c>
      <c r="K121" s="75">
        <f t="shared" si="18"/>
        <v>278.10943563184787</v>
      </c>
      <c r="L121" s="75">
        <f t="shared" si="15"/>
        <v>208.59980770754103</v>
      </c>
      <c r="M121" s="102">
        <f t="shared" si="19"/>
        <v>10.719697858567214</v>
      </c>
      <c r="N121" s="102">
        <f t="shared" si="16"/>
        <v>334.99055808022541</v>
      </c>
    </row>
    <row r="122" spans="1:14">
      <c r="A122" s="101">
        <v>40413</v>
      </c>
      <c r="B122" t="s">
        <v>194</v>
      </c>
      <c r="C122">
        <v>16.875</v>
      </c>
      <c r="D122">
        <v>368.46699999999998</v>
      </c>
      <c r="E122">
        <v>27.61</v>
      </c>
      <c r="F122">
        <v>2929</v>
      </c>
      <c r="G122">
        <v>16.5</v>
      </c>
      <c r="I122" s="102">
        <f t="shared" si="17"/>
        <v>132.35115704134282</v>
      </c>
      <c r="J122" s="103">
        <f t="shared" si="14"/>
        <v>27.661391821640645</v>
      </c>
      <c r="K122" s="75">
        <f t="shared" si="18"/>
        <v>277.60248384201606</v>
      </c>
      <c r="L122" s="75">
        <f t="shared" si="15"/>
        <v>208.21956154424331</v>
      </c>
      <c r="M122" s="102">
        <f t="shared" si="19"/>
        <v>10.700157457129519</v>
      </c>
      <c r="N122" s="102">
        <f t="shared" si="16"/>
        <v>334.37992053529746</v>
      </c>
    </row>
    <row r="123" spans="1:14">
      <c r="A123" s="101">
        <v>40413</v>
      </c>
      <c r="B123" t="s">
        <v>195</v>
      </c>
      <c r="C123">
        <v>17.042000000000002</v>
      </c>
      <c r="D123">
        <v>366.79599999999999</v>
      </c>
      <c r="E123">
        <v>27.66</v>
      </c>
      <c r="F123">
        <v>2929</v>
      </c>
      <c r="G123">
        <v>16.5</v>
      </c>
      <c r="I123" s="102">
        <f t="shared" ref="I123:I142" si="20">(-((TAN(E123*PI()/180))/(TAN(($B$7+($B$14*(G123-$E$7)))*PI()/180))*($H$13+($B$15*(G123-$E$8)))+(TAN(E123*PI()/180))/(TAN(($B$7+($B$14*(G123-$E$7)))*PI()/180))*1/$B$16*($H$13+($B$15*(G123-$E$8)))-$B$13*1/$B$16*($H$13+($B$15*(G123-$E$8)))-($H$13+($B$15*(G123-$E$8)))+$B$13*($H$13+($B$15*(G123-$E$8))))+(SQRT((POWER(((TAN(E123*PI()/180))/(TAN(($B$7+($B$14*(G123-$E$7)))*PI()/180))*($H$13+($B$15*(G123-$E$8)))+(TAN(E123*PI()/180))/(TAN(($B$7+($B$14*(G123-$E$7)))*PI()/180))*1/$B$16*($H$13+($B$15*(G123-$E$8)))-$B$13*1/$B$16*($H$13+($B$15*(G123-$E$8)))-($H$13+($B$15*(G123-$E$8)))+$B$13*($H$13+($B$15*(G123-$E$8)))),2))-4*((TAN(E123*PI()/180))/(TAN(($B$7+($B$14*(G123-$E$7)))*PI()/180))*1/$B$16*POWER(($H$13+($B$15*(G123-$E$8))),2))*((TAN(E123*PI()/180))/(TAN(($B$7+($B$14*(G123-$E$7)))*PI()/180))-1))))/(2*((TAN(E123*PI()/180))/(TAN(($B$7+($B$14*(G123-$E$7)))*PI()/180))*1/$B$16*POWER(($H$13+($B$15*(G123-$E$8))),2)))</f>
        <v>131.74919926638552</v>
      </c>
      <c r="J123" s="103">
        <f t="shared" si="14"/>
        <v>27.53558264667457</v>
      </c>
      <c r="K123" s="75">
        <f t="shared" ref="K123:K142" si="21">($B$9-EXP(52.57-6690.9/(273.15+G123)-4.681*LN(273.15+G123)))*I123/100*0.2095</f>
        <v>276.33989591130415</v>
      </c>
      <c r="L123" s="75">
        <f t="shared" si="15"/>
        <v>207.27254009938656</v>
      </c>
      <c r="M123" s="102">
        <f t="shared" ref="M123:M142" si="22">(($B$9-EXP(52.57-6690.9/(273.15+G123)-4.681*LN(273.15+G123)))/1013)*I123/100*0.2095*((49-1.335*G123+0.02759*POWER(G123,2)-0.0003235*POWER(G123,3)+0.000001614*POWER(G123,4))
-($J$16*(5.516*10^-1-1.759*10^-2*G123+2.253*10^-4*POWER(G123,2)-2.654*10^-7*POWER(G123,3)+5.363*10^-8*POWER(G123,4))))*32/22.414</f>
        <v>10.65149114307097</v>
      </c>
      <c r="N123" s="102">
        <f t="shared" si="16"/>
        <v>332.85909822096784</v>
      </c>
    </row>
    <row r="124" spans="1:14">
      <c r="A124" s="101">
        <v>40413</v>
      </c>
      <c r="B124" t="s">
        <v>196</v>
      </c>
      <c r="C124">
        <v>17.209</v>
      </c>
      <c r="D124">
        <v>372.51600000000002</v>
      </c>
      <c r="E124">
        <v>27.49</v>
      </c>
      <c r="F124">
        <v>2928</v>
      </c>
      <c r="G124">
        <v>16.5</v>
      </c>
      <c r="I124" s="102">
        <f t="shared" si="20"/>
        <v>133.80923349479198</v>
      </c>
      <c r="J124" s="103">
        <f t="shared" si="14"/>
        <v>27.966129800411522</v>
      </c>
      <c r="K124" s="75">
        <f t="shared" si="21"/>
        <v>280.66075438650864</v>
      </c>
      <c r="L124" s="75">
        <f t="shared" si="15"/>
        <v>210.51345943393335</v>
      </c>
      <c r="M124" s="102">
        <f t="shared" si="22"/>
        <v>10.818038161652304</v>
      </c>
      <c r="N124" s="102">
        <f t="shared" si="16"/>
        <v>338.06369255163446</v>
      </c>
    </row>
    <row r="125" spans="1:14">
      <c r="A125" s="101">
        <v>40413</v>
      </c>
      <c r="B125" t="s">
        <v>197</v>
      </c>
      <c r="C125">
        <v>17.375</v>
      </c>
      <c r="D125">
        <v>372.51600000000002</v>
      </c>
      <c r="E125">
        <v>27.49</v>
      </c>
      <c r="F125">
        <v>2931</v>
      </c>
      <c r="G125">
        <v>16.5</v>
      </c>
      <c r="I125" s="102">
        <f t="shared" si="20"/>
        <v>133.80923349479198</v>
      </c>
      <c r="J125" s="103">
        <f t="shared" si="14"/>
        <v>27.966129800411522</v>
      </c>
      <c r="K125" s="75">
        <f t="shared" si="21"/>
        <v>280.66075438650864</v>
      </c>
      <c r="L125" s="75">
        <f t="shared" si="15"/>
        <v>210.51345943393335</v>
      </c>
      <c r="M125" s="102">
        <f t="shared" si="22"/>
        <v>10.818038161652304</v>
      </c>
      <c r="N125" s="102">
        <f t="shared" si="16"/>
        <v>338.06369255163446</v>
      </c>
    </row>
    <row r="126" spans="1:14">
      <c r="A126" s="101">
        <v>40413</v>
      </c>
      <c r="B126" t="s">
        <v>198</v>
      </c>
      <c r="C126">
        <v>17.542000000000002</v>
      </c>
      <c r="D126">
        <v>374.56</v>
      </c>
      <c r="E126">
        <v>27.43</v>
      </c>
      <c r="F126">
        <v>2923</v>
      </c>
      <c r="G126">
        <v>16.5</v>
      </c>
      <c r="I126" s="102">
        <f t="shared" si="20"/>
        <v>134.54543100318418</v>
      </c>
      <c r="J126" s="103">
        <f t="shared" si="14"/>
        <v>28.11999507966549</v>
      </c>
      <c r="K126" s="75">
        <f t="shared" si="21"/>
        <v>282.20490603199926</v>
      </c>
      <c r="L126" s="75">
        <f t="shared" si="15"/>
        <v>211.6716716160868</v>
      </c>
      <c r="M126" s="102">
        <f t="shared" si="22"/>
        <v>10.877557318382323</v>
      </c>
      <c r="N126" s="102">
        <f t="shared" si="16"/>
        <v>339.92366619944761</v>
      </c>
    </row>
    <row r="127" spans="1:14">
      <c r="A127" s="101">
        <v>40413</v>
      </c>
      <c r="B127" t="s">
        <v>199</v>
      </c>
      <c r="C127">
        <v>17.709</v>
      </c>
      <c r="D127">
        <v>370.48500000000001</v>
      </c>
      <c r="E127">
        <v>27.55</v>
      </c>
      <c r="F127">
        <v>2923</v>
      </c>
      <c r="G127">
        <v>16.5</v>
      </c>
      <c r="I127" s="102">
        <f t="shared" si="20"/>
        <v>133.07782227701983</v>
      </c>
      <c r="J127" s="103">
        <f t="shared" si="14"/>
        <v>27.813264855897142</v>
      </c>
      <c r="K127" s="75">
        <f t="shared" si="21"/>
        <v>279.12664183847829</v>
      </c>
      <c r="L127" s="75">
        <f t="shared" si="15"/>
        <v>209.36277721492198</v>
      </c>
      <c r="M127" s="102">
        <f t="shared" si="22"/>
        <v>10.758905960838765</v>
      </c>
      <c r="N127" s="102">
        <f t="shared" si="16"/>
        <v>336.21581127621141</v>
      </c>
    </row>
    <row r="128" spans="1:14">
      <c r="A128" s="101">
        <v>40413</v>
      </c>
      <c r="B128" t="s">
        <v>200</v>
      </c>
      <c r="C128">
        <v>17.876000000000001</v>
      </c>
      <c r="D128">
        <v>374.56</v>
      </c>
      <c r="E128">
        <v>27.43</v>
      </c>
      <c r="F128">
        <v>2919</v>
      </c>
      <c r="G128">
        <v>16.5</v>
      </c>
      <c r="I128" s="102">
        <f t="shared" si="20"/>
        <v>134.54543100318418</v>
      </c>
      <c r="J128" s="103">
        <f t="shared" si="14"/>
        <v>28.11999507966549</v>
      </c>
      <c r="K128" s="75">
        <f t="shared" si="21"/>
        <v>282.20490603199926</v>
      </c>
      <c r="L128" s="75">
        <f t="shared" si="15"/>
        <v>211.6716716160868</v>
      </c>
      <c r="M128" s="102">
        <f t="shared" si="22"/>
        <v>10.877557318382323</v>
      </c>
      <c r="N128" s="102">
        <f t="shared" si="16"/>
        <v>339.92366619944761</v>
      </c>
    </row>
    <row r="129" spans="1:14">
      <c r="A129" s="101">
        <v>40413</v>
      </c>
      <c r="B129" t="s">
        <v>201</v>
      </c>
      <c r="C129">
        <v>18.042999999999999</v>
      </c>
      <c r="D129">
        <v>372.17599999999999</v>
      </c>
      <c r="E129">
        <v>27.5</v>
      </c>
      <c r="F129">
        <v>2915</v>
      </c>
      <c r="G129">
        <v>16.5</v>
      </c>
      <c r="I129" s="102">
        <f t="shared" si="20"/>
        <v>133.68700033723215</v>
      </c>
      <c r="J129" s="103">
        <f t="shared" si="14"/>
        <v>27.940583070481516</v>
      </c>
      <c r="K129" s="75">
        <f t="shared" si="21"/>
        <v>280.40437409558405</v>
      </c>
      <c r="L129" s="75">
        <f t="shared" si="15"/>
        <v>210.32115787010699</v>
      </c>
      <c r="M129" s="102">
        <f t="shared" si="22"/>
        <v>10.80815601130613</v>
      </c>
      <c r="N129" s="102">
        <f t="shared" si="16"/>
        <v>337.75487535331655</v>
      </c>
    </row>
    <row r="130" spans="1:14">
      <c r="A130" s="101">
        <v>40413</v>
      </c>
      <c r="B130" t="s">
        <v>202</v>
      </c>
      <c r="C130">
        <v>18.21</v>
      </c>
      <c r="D130">
        <v>370.14800000000002</v>
      </c>
      <c r="E130">
        <v>27.56</v>
      </c>
      <c r="F130">
        <v>2914</v>
      </c>
      <c r="G130">
        <v>16.5</v>
      </c>
      <c r="I130" s="102">
        <f t="shared" si="20"/>
        <v>132.95638290525486</v>
      </c>
      <c r="J130" s="103">
        <f t="shared" si="14"/>
        <v>27.78788402719826</v>
      </c>
      <c r="K130" s="75">
        <f t="shared" si="21"/>
        <v>278.87192648885991</v>
      </c>
      <c r="L130" s="75">
        <f t="shared" si="15"/>
        <v>209.17172446322431</v>
      </c>
      <c r="M130" s="102">
        <f t="shared" si="22"/>
        <v>10.749087985473622</v>
      </c>
      <c r="N130" s="102">
        <f t="shared" si="16"/>
        <v>335.90899954605067</v>
      </c>
    </row>
    <row r="131" spans="1:14">
      <c r="A131" s="101">
        <v>40413</v>
      </c>
      <c r="B131" t="s">
        <v>203</v>
      </c>
      <c r="C131">
        <v>18.376999999999999</v>
      </c>
      <c r="D131">
        <v>374.56</v>
      </c>
      <c r="E131">
        <v>27.43</v>
      </c>
      <c r="F131">
        <v>2919</v>
      </c>
      <c r="G131">
        <v>16.5</v>
      </c>
      <c r="I131" s="102">
        <f t="shared" si="20"/>
        <v>134.54543100318418</v>
      </c>
      <c r="J131" s="103">
        <f t="shared" si="14"/>
        <v>28.11999507966549</v>
      </c>
      <c r="K131" s="75">
        <f t="shared" si="21"/>
        <v>282.20490603199926</v>
      </c>
      <c r="L131" s="75">
        <f t="shared" si="15"/>
        <v>211.6716716160868</v>
      </c>
      <c r="M131" s="102">
        <f t="shared" si="22"/>
        <v>10.877557318382323</v>
      </c>
      <c r="N131" s="102">
        <f t="shared" si="16"/>
        <v>339.92366619944761</v>
      </c>
    </row>
    <row r="132" spans="1:14">
      <c r="A132" s="101">
        <v>40413</v>
      </c>
      <c r="B132" t="s">
        <v>204</v>
      </c>
      <c r="C132">
        <v>18.527000000000001</v>
      </c>
      <c r="D132">
        <v>375.58699999999999</v>
      </c>
      <c r="E132">
        <v>27.4</v>
      </c>
      <c r="F132">
        <v>2905</v>
      </c>
      <c r="G132">
        <v>16.5</v>
      </c>
      <c r="I132" s="102">
        <f t="shared" si="20"/>
        <v>134.91533731879562</v>
      </c>
      <c r="J132" s="103">
        <f t="shared" si="14"/>
        <v>28.197305499628282</v>
      </c>
      <c r="K132" s="75">
        <f t="shared" si="21"/>
        <v>282.98077315925451</v>
      </c>
      <c r="L132" s="75">
        <f t="shared" si="15"/>
        <v>212.2536214272622</v>
      </c>
      <c r="M132" s="102">
        <f t="shared" si="22"/>
        <v>10.90746303216609</v>
      </c>
      <c r="N132" s="102">
        <f t="shared" si="16"/>
        <v>340.85821975519031</v>
      </c>
    </row>
    <row r="133" spans="1:14">
      <c r="A133" s="101">
        <v>40413</v>
      </c>
      <c r="B133" t="s">
        <v>205</v>
      </c>
      <c r="C133">
        <v>18.693999999999999</v>
      </c>
      <c r="D133">
        <v>371.83699999999999</v>
      </c>
      <c r="E133">
        <v>27.51</v>
      </c>
      <c r="F133">
        <v>2911</v>
      </c>
      <c r="G133">
        <v>16.5</v>
      </c>
      <c r="I133" s="102">
        <f t="shared" si="20"/>
        <v>133.56489994395832</v>
      </c>
      <c r="J133" s="103">
        <f t="shared" si="14"/>
        <v>27.915064088287284</v>
      </c>
      <c r="K133" s="75">
        <f t="shared" si="21"/>
        <v>280.14827227366862</v>
      </c>
      <c r="L133" s="75">
        <f t="shared" si="15"/>
        <v>210.1290651757914</v>
      </c>
      <c r="M133" s="102">
        <f t="shared" si="22"/>
        <v>10.798284594517542</v>
      </c>
      <c r="N133" s="102">
        <f t="shared" si="16"/>
        <v>337.44639357867317</v>
      </c>
    </row>
    <row r="134" spans="1:14">
      <c r="A134" s="101">
        <v>40413</v>
      </c>
      <c r="B134" t="s">
        <v>206</v>
      </c>
      <c r="C134">
        <v>18.861000000000001</v>
      </c>
      <c r="D134">
        <v>376.27300000000002</v>
      </c>
      <c r="E134">
        <v>27.38</v>
      </c>
      <c r="F134">
        <v>2913</v>
      </c>
      <c r="G134">
        <v>16.5</v>
      </c>
      <c r="I134" s="102">
        <f t="shared" si="20"/>
        <v>135.16261446992928</v>
      </c>
      <c r="J134" s="103">
        <f t="shared" si="14"/>
        <v>28.248986424215218</v>
      </c>
      <c r="K134" s="75">
        <f t="shared" si="21"/>
        <v>283.49942938324693</v>
      </c>
      <c r="L134" s="75">
        <f t="shared" si="15"/>
        <v>212.64264666240149</v>
      </c>
      <c r="M134" s="102">
        <f t="shared" si="22"/>
        <v>10.927454579741713</v>
      </c>
      <c r="N134" s="102">
        <f t="shared" si="16"/>
        <v>341.48295561692856</v>
      </c>
    </row>
    <row r="135" spans="1:14">
      <c r="A135" s="101">
        <v>40413</v>
      </c>
      <c r="B135" t="s">
        <v>207</v>
      </c>
      <c r="C135">
        <v>19.027999999999999</v>
      </c>
      <c r="D135">
        <v>375.58699999999999</v>
      </c>
      <c r="E135">
        <v>27.4</v>
      </c>
      <c r="F135">
        <v>2913</v>
      </c>
      <c r="G135">
        <v>16.5</v>
      </c>
      <c r="I135" s="102">
        <f t="shared" si="20"/>
        <v>134.91533731879562</v>
      </c>
      <c r="J135" s="103">
        <f t="shared" si="14"/>
        <v>28.197305499628282</v>
      </c>
      <c r="K135" s="75">
        <f t="shared" si="21"/>
        <v>282.98077315925451</v>
      </c>
      <c r="L135" s="75">
        <f t="shared" si="15"/>
        <v>212.2536214272622</v>
      </c>
      <c r="M135" s="102">
        <f t="shared" si="22"/>
        <v>10.90746303216609</v>
      </c>
      <c r="N135" s="102">
        <f t="shared" si="16"/>
        <v>340.85821975519031</v>
      </c>
    </row>
    <row r="136" spans="1:14">
      <c r="A136" s="101">
        <v>40413</v>
      </c>
      <c r="B136" t="s">
        <v>208</v>
      </c>
      <c r="C136">
        <v>19.195</v>
      </c>
      <c r="D136">
        <v>372.17599999999999</v>
      </c>
      <c r="E136">
        <v>27.5</v>
      </c>
      <c r="F136">
        <v>2906</v>
      </c>
      <c r="G136">
        <v>16.5</v>
      </c>
      <c r="I136" s="102">
        <f t="shared" si="20"/>
        <v>133.68700033723215</v>
      </c>
      <c r="J136" s="103">
        <f t="shared" si="14"/>
        <v>27.940583070481516</v>
      </c>
      <c r="K136" s="75">
        <f t="shared" si="21"/>
        <v>280.40437409558405</v>
      </c>
      <c r="L136" s="75">
        <f t="shared" si="15"/>
        <v>210.32115787010699</v>
      </c>
      <c r="M136" s="102">
        <f t="shared" si="22"/>
        <v>10.80815601130613</v>
      </c>
      <c r="N136" s="102">
        <f t="shared" si="16"/>
        <v>337.75487535331655</v>
      </c>
    </row>
    <row r="137" spans="1:14">
      <c r="A137" s="101">
        <v>40413</v>
      </c>
      <c r="B137" t="s">
        <v>209</v>
      </c>
      <c r="C137">
        <v>19.361999999999998</v>
      </c>
      <c r="D137">
        <v>375.24400000000003</v>
      </c>
      <c r="E137">
        <v>27.41</v>
      </c>
      <c r="F137">
        <v>2902</v>
      </c>
      <c r="G137">
        <v>16.5</v>
      </c>
      <c r="I137" s="102">
        <f t="shared" si="20"/>
        <v>134.79190081551789</v>
      </c>
      <c r="J137" s="103">
        <f t="shared" si="14"/>
        <v>28.171507270443239</v>
      </c>
      <c r="K137" s="75">
        <f t="shared" si="21"/>
        <v>282.72186888767368</v>
      </c>
      <c r="L137" s="75">
        <f t="shared" si="15"/>
        <v>212.05942671702618</v>
      </c>
      <c r="M137" s="102">
        <f t="shared" si="22"/>
        <v>10.897483595260855</v>
      </c>
      <c r="N137" s="102">
        <f t="shared" si="16"/>
        <v>340.54636235190173</v>
      </c>
    </row>
    <row r="138" spans="1:14">
      <c r="A138" s="101">
        <v>40413</v>
      </c>
      <c r="B138" t="s">
        <v>210</v>
      </c>
      <c r="C138">
        <v>19.529</v>
      </c>
      <c r="D138">
        <v>377.30599999999998</v>
      </c>
      <c r="E138">
        <v>27.35</v>
      </c>
      <c r="F138">
        <v>2900</v>
      </c>
      <c r="G138">
        <v>16.5</v>
      </c>
      <c r="I138" s="102">
        <f t="shared" si="20"/>
        <v>135.53454341827808</v>
      </c>
      <c r="J138" s="103">
        <f t="shared" si="14"/>
        <v>28.326719574420117</v>
      </c>
      <c r="K138" s="75">
        <f t="shared" si="21"/>
        <v>284.27953892049959</v>
      </c>
      <c r="L138" s="75">
        <f t="shared" si="15"/>
        <v>213.22777855155155</v>
      </c>
      <c r="M138" s="102">
        <f t="shared" si="22"/>
        <v>10.957523816756039</v>
      </c>
      <c r="N138" s="102">
        <f t="shared" si="16"/>
        <v>342.4226192736262</v>
      </c>
    </row>
    <row r="139" spans="1:14">
      <c r="A139" s="101">
        <v>40413</v>
      </c>
      <c r="B139" t="s">
        <v>211</v>
      </c>
      <c r="C139">
        <v>19.695</v>
      </c>
      <c r="D139">
        <v>377.99599999999998</v>
      </c>
      <c r="E139">
        <v>27.33</v>
      </c>
      <c r="F139">
        <v>2896</v>
      </c>
      <c r="G139">
        <v>16.5</v>
      </c>
      <c r="I139" s="102">
        <f t="shared" si="20"/>
        <v>135.783173763337</v>
      </c>
      <c r="J139" s="103">
        <f t="shared" si="14"/>
        <v>28.37868331653743</v>
      </c>
      <c r="K139" s="75">
        <f t="shared" si="21"/>
        <v>284.80103342715728</v>
      </c>
      <c r="L139" s="75">
        <f t="shared" si="15"/>
        <v>213.61893267964572</v>
      </c>
      <c r="M139" s="102">
        <f t="shared" si="22"/>
        <v>10.977624765627382</v>
      </c>
      <c r="N139" s="102">
        <f t="shared" si="16"/>
        <v>343.05077392585571</v>
      </c>
    </row>
    <row r="140" spans="1:14">
      <c r="A140" s="101">
        <v>40413</v>
      </c>
      <c r="B140" t="s">
        <v>212</v>
      </c>
      <c r="C140">
        <v>19.861999999999998</v>
      </c>
      <c r="D140">
        <v>379.72899999999998</v>
      </c>
      <c r="E140">
        <v>27.28</v>
      </c>
      <c r="F140">
        <v>2894</v>
      </c>
      <c r="G140">
        <v>16.5</v>
      </c>
      <c r="I140" s="102">
        <f t="shared" si="20"/>
        <v>136.40713283319232</v>
      </c>
      <c r="J140" s="103">
        <f t="shared" si="14"/>
        <v>28.509090762137195</v>
      </c>
      <c r="K140" s="75">
        <f t="shared" si="21"/>
        <v>286.10976839766818</v>
      </c>
      <c r="L140" s="75">
        <f t="shared" si="15"/>
        <v>214.60056734647557</v>
      </c>
      <c r="M140" s="102">
        <f t="shared" si="22"/>
        <v>11.028069812300986</v>
      </c>
      <c r="N140" s="102">
        <f t="shared" si="16"/>
        <v>344.62718163440582</v>
      </c>
    </row>
    <row r="141" spans="1:14">
      <c r="A141" s="101">
        <v>40413</v>
      </c>
      <c r="B141" t="s">
        <v>213</v>
      </c>
      <c r="C141">
        <v>20.029</v>
      </c>
      <c r="D141">
        <v>379.03500000000003</v>
      </c>
      <c r="E141">
        <v>27.3</v>
      </c>
      <c r="F141">
        <v>2893</v>
      </c>
      <c r="G141">
        <v>16.5</v>
      </c>
      <c r="I141" s="102">
        <f t="shared" si="20"/>
        <v>136.15713969130977</v>
      </c>
      <c r="J141" s="103">
        <f t="shared" si="14"/>
        <v>28.456842195483741</v>
      </c>
      <c r="K141" s="75">
        <f t="shared" si="21"/>
        <v>285.58541546656096</v>
      </c>
      <c r="L141" s="75">
        <f t="shared" si="15"/>
        <v>214.20726921780422</v>
      </c>
      <c r="M141" s="102">
        <f t="shared" si="22"/>
        <v>11.007858685771049</v>
      </c>
      <c r="N141" s="102">
        <f t="shared" si="16"/>
        <v>343.99558393034528</v>
      </c>
    </row>
    <row r="142" spans="1:14">
      <c r="A142" s="101">
        <v>40413</v>
      </c>
      <c r="B142" t="s">
        <v>214</v>
      </c>
      <c r="C142">
        <v>20.196000000000002</v>
      </c>
      <c r="D142">
        <v>381.12200000000001</v>
      </c>
      <c r="E142">
        <v>27.24</v>
      </c>
      <c r="F142">
        <v>2891</v>
      </c>
      <c r="G142">
        <v>16.5</v>
      </c>
      <c r="I142" s="102">
        <f t="shared" si="20"/>
        <v>136.90876414509358</v>
      </c>
      <c r="J142" s="103">
        <f t="shared" si="14"/>
        <v>28.613931706324557</v>
      </c>
      <c r="K142" s="75">
        <f t="shared" si="21"/>
        <v>287.16192465583549</v>
      </c>
      <c r="L142" s="75">
        <f t="shared" si="15"/>
        <v>215.38975162076437</v>
      </c>
      <c r="M142" s="102">
        <f t="shared" si="22"/>
        <v>11.068625060496462</v>
      </c>
      <c r="N142" s="102">
        <f t="shared" si="16"/>
        <v>345.89453314051445</v>
      </c>
    </row>
    <row r="143" spans="1:14">
      <c r="A143" s="101">
        <v>40413</v>
      </c>
      <c r="B143" t="s">
        <v>215</v>
      </c>
      <c r="C143">
        <v>20.363</v>
      </c>
      <c r="D143">
        <v>376.27300000000002</v>
      </c>
      <c r="E143">
        <v>27.38</v>
      </c>
      <c r="F143">
        <v>2890</v>
      </c>
      <c r="G143">
        <v>16.5</v>
      </c>
      <c r="I143" s="102">
        <f t="shared" ref="I143:I189" si="23">(-((TAN(E143*PI()/180))/(TAN(($B$7+($B$14*(G143-$E$7)))*PI()/180))*($H$13+($B$15*(G143-$E$8)))+(TAN(E143*PI()/180))/(TAN(($B$7+($B$14*(G143-$E$7)))*PI()/180))*1/$B$16*($H$13+($B$15*(G143-$E$8)))-$B$13*1/$B$16*($H$13+($B$15*(G143-$E$8)))-($H$13+($B$15*(G143-$E$8)))+$B$13*($H$13+($B$15*(G143-$E$8))))+(SQRT((POWER(((TAN(E143*PI()/180))/(TAN(($B$7+($B$14*(G143-$E$7)))*PI()/180))*($H$13+($B$15*(G143-$E$8)))+(TAN(E143*PI()/180))/(TAN(($B$7+($B$14*(G143-$E$7)))*PI()/180))*1/$B$16*($H$13+($B$15*(G143-$E$8)))-$B$13*1/$B$16*($H$13+($B$15*(G143-$E$8)))-($H$13+($B$15*(G143-$E$8)))+$B$13*($H$13+($B$15*(G143-$E$8)))),2))-4*((TAN(E143*PI()/180))/(TAN(($B$7+($B$14*(G143-$E$7)))*PI()/180))*1/$B$16*POWER(($H$13+($B$15*(G143-$E$8))),2))*((TAN(E143*PI()/180))/(TAN(($B$7+($B$14*(G143-$E$7)))*PI()/180))-1))))/(2*((TAN(E143*PI()/180))/(TAN(($B$7+($B$14*(G143-$E$7)))*PI()/180))*1/$B$16*POWER(($H$13+($B$15*(G143-$E$8))),2)))</f>
        <v>135.16261446992928</v>
      </c>
      <c r="J143" s="103">
        <f t="shared" si="14"/>
        <v>28.248986424215218</v>
      </c>
      <c r="K143" s="75">
        <f t="shared" ref="K143:K189" si="24">($B$9-EXP(52.57-6690.9/(273.15+G143)-4.681*LN(273.15+G143)))*I143/100*0.2095</f>
        <v>283.49942938324693</v>
      </c>
      <c r="L143" s="75">
        <f t="shared" si="15"/>
        <v>212.64264666240149</v>
      </c>
      <c r="M143" s="102">
        <f t="shared" ref="M143:M189" si="25">(($B$9-EXP(52.57-6690.9/(273.15+G143)-4.681*LN(273.15+G143)))/1013)*I143/100*0.2095*((49-1.335*G143+0.02759*POWER(G143,2)-0.0003235*POWER(G143,3)+0.000001614*POWER(G143,4))
-($J$16*(5.516*10^-1-1.759*10^-2*G143+2.253*10^-4*POWER(G143,2)-2.654*10^-7*POWER(G143,3)+5.363*10^-8*POWER(G143,4))))*32/22.414</f>
        <v>10.927454579741713</v>
      </c>
      <c r="N143" s="102">
        <f t="shared" si="16"/>
        <v>341.48295561692856</v>
      </c>
    </row>
    <row r="144" spans="1:14">
      <c r="A144" s="101">
        <v>40413</v>
      </c>
      <c r="B144" t="s">
        <v>216</v>
      </c>
      <c r="C144">
        <v>20.53</v>
      </c>
      <c r="D144">
        <v>375.58699999999999</v>
      </c>
      <c r="E144">
        <v>27.4</v>
      </c>
      <c r="F144">
        <v>2885</v>
      </c>
      <c r="G144">
        <v>16.5</v>
      </c>
      <c r="I144" s="102">
        <f t="shared" si="23"/>
        <v>134.91533731879562</v>
      </c>
      <c r="J144" s="103">
        <f t="shared" si="14"/>
        <v>28.197305499628282</v>
      </c>
      <c r="K144" s="75">
        <f t="shared" si="24"/>
        <v>282.98077315925451</v>
      </c>
      <c r="L144" s="75">
        <f t="shared" si="15"/>
        <v>212.2536214272622</v>
      </c>
      <c r="M144" s="102">
        <f t="shared" si="25"/>
        <v>10.90746303216609</v>
      </c>
      <c r="N144" s="102">
        <f t="shared" si="16"/>
        <v>340.85821975519031</v>
      </c>
    </row>
    <row r="145" spans="1:14">
      <c r="A145" s="101">
        <v>40413</v>
      </c>
      <c r="B145" t="s">
        <v>217</v>
      </c>
      <c r="C145">
        <v>20.696999999999999</v>
      </c>
      <c r="D145">
        <v>384.983</v>
      </c>
      <c r="E145">
        <v>27.13</v>
      </c>
      <c r="F145">
        <v>2889</v>
      </c>
      <c r="G145">
        <v>16.5</v>
      </c>
      <c r="I145" s="102">
        <f t="shared" si="23"/>
        <v>138.29965109351303</v>
      </c>
      <c r="J145" s="103">
        <f t="shared" si="14"/>
        <v>28.904627078544223</v>
      </c>
      <c r="K145" s="75">
        <f t="shared" si="24"/>
        <v>290.07926727871916</v>
      </c>
      <c r="L145" s="75">
        <f t="shared" si="15"/>
        <v>217.57794458432903</v>
      </c>
      <c r="M145" s="102">
        <f t="shared" si="25"/>
        <v>11.181073713654103</v>
      </c>
      <c r="N145" s="102">
        <f t="shared" si="16"/>
        <v>349.40855355169072</v>
      </c>
    </row>
    <row r="146" spans="1:14">
      <c r="A146" s="101">
        <v>40413</v>
      </c>
      <c r="B146" t="s">
        <v>218</v>
      </c>
      <c r="C146">
        <v>20.864000000000001</v>
      </c>
      <c r="D146">
        <v>380.77300000000002</v>
      </c>
      <c r="E146">
        <v>27.25</v>
      </c>
      <c r="F146">
        <v>2888</v>
      </c>
      <c r="G146">
        <v>16.5</v>
      </c>
      <c r="I146" s="102">
        <f t="shared" si="23"/>
        <v>136.78315020285726</v>
      </c>
      <c r="J146" s="103">
        <f t="shared" si="14"/>
        <v>28.587678392397166</v>
      </c>
      <c r="K146" s="75">
        <f t="shared" si="24"/>
        <v>286.89845327296649</v>
      </c>
      <c r="L146" s="75">
        <f t="shared" si="15"/>
        <v>215.19213128588416</v>
      </c>
      <c r="M146" s="102">
        <f t="shared" si="25"/>
        <v>11.058469584784831</v>
      </c>
      <c r="N146" s="102">
        <f t="shared" si="16"/>
        <v>345.57717452452596</v>
      </c>
    </row>
    <row r="147" spans="1:14">
      <c r="A147" s="101">
        <v>40413</v>
      </c>
      <c r="B147" t="s">
        <v>219</v>
      </c>
      <c r="C147">
        <v>21.030999999999999</v>
      </c>
      <c r="D147">
        <v>375.93</v>
      </c>
      <c r="E147">
        <v>27.39</v>
      </c>
      <c r="F147">
        <v>2876</v>
      </c>
      <c r="G147">
        <v>16.5</v>
      </c>
      <c r="I147" s="102">
        <f t="shared" si="23"/>
        <v>135.03890847347412</v>
      </c>
      <c r="J147" s="103">
        <f t="shared" si="14"/>
        <v>28.223131870956092</v>
      </c>
      <c r="K147" s="75">
        <f t="shared" si="24"/>
        <v>283.23995985800974</v>
      </c>
      <c r="L147" s="75">
        <f t="shared" si="15"/>
        <v>212.44802797588525</v>
      </c>
      <c r="M147" s="102">
        <f t="shared" si="25"/>
        <v>10.917453355195956</v>
      </c>
      <c r="N147" s="102">
        <f t="shared" si="16"/>
        <v>341.17041734987362</v>
      </c>
    </row>
    <row r="148" spans="1:14">
      <c r="A148" s="101">
        <v>40413</v>
      </c>
      <c r="B148" t="s">
        <v>220</v>
      </c>
      <c r="C148">
        <v>21.198</v>
      </c>
      <c r="D148">
        <v>381.12200000000001</v>
      </c>
      <c r="E148">
        <v>27.24</v>
      </c>
      <c r="F148">
        <v>2881</v>
      </c>
      <c r="G148">
        <v>16.5</v>
      </c>
      <c r="I148" s="102">
        <f t="shared" si="23"/>
        <v>136.90876414509358</v>
      </c>
      <c r="J148" s="103">
        <f t="shared" si="14"/>
        <v>28.613931706324557</v>
      </c>
      <c r="K148" s="75">
        <f t="shared" si="24"/>
        <v>287.16192465583549</v>
      </c>
      <c r="L148" s="75">
        <f t="shared" si="15"/>
        <v>215.38975162076437</v>
      </c>
      <c r="M148" s="102">
        <f t="shared" si="25"/>
        <v>11.068625060496462</v>
      </c>
      <c r="N148" s="102">
        <f t="shared" si="16"/>
        <v>345.89453314051445</v>
      </c>
    </row>
    <row r="149" spans="1:14">
      <c r="A149" s="101">
        <v>40413</v>
      </c>
      <c r="B149" t="s">
        <v>221</v>
      </c>
      <c r="C149">
        <v>21.364999999999998</v>
      </c>
      <c r="D149">
        <v>384.27800000000002</v>
      </c>
      <c r="E149">
        <v>27.15</v>
      </c>
      <c r="F149">
        <v>2875</v>
      </c>
      <c r="G149">
        <v>16.5</v>
      </c>
      <c r="I149" s="102">
        <f t="shared" si="23"/>
        <v>138.04551116936449</v>
      </c>
      <c r="J149" s="103">
        <f t="shared" ref="J149:J189" si="26">I149*20.9/100</f>
        <v>28.851511834397176</v>
      </c>
      <c r="K149" s="75">
        <f t="shared" si="24"/>
        <v>289.54621659926778</v>
      </c>
      <c r="L149" s="75">
        <f t="shared" ref="L149:L189" si="27">K149/1.33322</f>
        <v>217.17812258987095</v>
      </c>
      <c r="M149" s="102">
        <f t="shared" si="25"/>
        <v>11.160527333363049</v>
      </c>
      <c r="N149" s="102">
        <f t="shared" ref="N149:N189" si="28">M149*31.25</f>
        <v>348.76647916759526</v>
      </c>
    </row>
    <row r="150" spans="1:14">
      <c r="A150" s="101">
        <v>40413</v>
      </c>
      <c r="B150" t="s">
        <v>222</v>
      </c>
      <c r="C150">
        <v>21.530999999999999</v>
      </c>
      <c r="D150">
        <v>384.27800000000002</v>
      </c>
      <c r="E150">
        <v>27.15</v>
      </c>
      <c r="F150">
        <v>2872</v>
      </c>
      <c r="G150">
        <v>16.5</v>
      </c>
      <c r="I150" s="102">
        <f t="shared" si="23"/>
        <v>138.04551116936449</v>
      </c>
      <c r="J150" s="103">
        <f t="shared" si="26"/>
        <v>28.851511834397176</v>
      </c>
      <c r="K150" s="75">
        <f t="shared" si="24"/>
        <v>289.54621659926778</v>
      </c>
      <c r="L150" s="75">
        <f t="shared" si="27"/>
        <v>217.17812258987095</v>
      </c>
      <c r="M150" s="102">
        <f t="shared" si="25"/>
        <v>11.160527333363049</v>
      </c>
      <c r="N150" s="102">
        <f t="shared" si="28"/>
        <v>348.76647916759526</v>
      </c>
    </row>
    <row r="151" spans="1:14">
      <c r="A151" s="101">
        <v>40413</v>
      </c>
      <c r="B151" t="s">
        <v>223</v>
      </c>
      <c r="C151">
        <v>21.698</v>
      </c>
      <c r="D151">
        <v>379.38200000000001</v>
      </c>
      <c r="E151">
        <v>27.29</v>
      </c>
      <c r="F151">
        <v>2874</v>
      </c>
      <c r="G151">
        <v>16.5</v>
      </c>
      <c r="I151" s="102">
        <f t="shared" si="23"/>
        <v>136.28206788106775</v>
      </c>
      <c r="J151" s="103">
        <f t="shared" si="26"/>
        <v>28.482952187143155</v>
      </c>
      <c r="K151" s="75">
        <f t="shared" si="24"/>
        <v>285.84744850468445</v>
      </c>
      <c r="L151" s="75">
        <f t="shared" si="27"/>
        <v>214.40381070242304</v>
      </c>
      <c r="M151" s="102">
        <f t="shared" si="25"/>
        <v>11.017958720641369</v>
      </c>
      <c r="N151" s="102">
        <f t="shared" si="28"/>
        <v>344.31121002004278</v>
      </c>
    </row>
    <row r="152" spans="1:14">
      <c r="A152" s="101">
        <v>40413</v>
      </c>
      <c r="B152" t="s">
        <v>224</v>
      </c>
      <c r="C152">
        <v>21.864999999999998</v>
      </c>
      <c r="D152">
        <v>385.69</v>
      </c>
      <c r="E152">
        <v>27.11</v>
      </c>
      <c r="F152">
        <v>2867</v>
      </c>
      <c r="G152">
        <v>16.5</v>
      </c>
      <c r="I152" s="102">
        <f t="shared" si="23"/>
        <v>138.55435061782023</v>
      </c>
      <c r="J152" s="103">
        <f t="shared" si="26"/>
        <v>28.957859279124428</v>
      </c>
      <c r="K152" s="75">
        <f t="shared" si="24"/>
        <v>290.61349170230295</v>
      </c>
      <c r="L152" s="75">
        <f t="shared" si="27"/>
        <v>217.97864696171894</v>
      </c>
      <c r="M152" s="102">
        <f t="shared" si="25"/>
        <v>11.201665335784702</v>
      </c>
      <c r="N152" s="102">
        <f t="shared" si="28"/>
        <v>350.0520417432719</v>
      </c>
    </row>
    <row r="153" spans="1:14">
      <c r="A153" s="101">
        <v>40413</v>
      </c>
      <c r="B153" t="s">
        <v>225</v>
      </c>
      <c r="C153">
        <v>22.032</v>
      </c>
      <c r="D153">
        <v>380.77300000000002</v>
      </c>
      <c r="E153">
        <v>27.25</v>
      </c>
      <c r="F153">
        <v>2867</v>
      </c>
      <c r="G153">
        <v>16.5</v>
      </c>
      <c r="I153" s="102">
        <f t="shared" si="23"/>
        <v>136.78315020285726</v>
      </c>
      <c r="J153" s="103">
        <f t="shared" si="26"/>
        <v>28.587678392397166</v>
      </c>
      <c r="K153" s="75">
        <f t="shared" si="24"/>
        <v>286.89845327296649</v>
      </c>
      <c r="L153" s="75">
        <f t="shared" si="27"/>
        <v>215.19213128588416</v>
      </c>
      <c r="M153" s="102">
        <f t="shared" si="25"/>
        <v>11.058469584784831</v>
      </c>
      <c r="N153" s="102">
        <f t="shared" si="28"/>
        <v>345.57717452452596</v>
      </c>
    </row>
    <row r="154" spans="1:14">
      <c r="A154" s="101">
        <v>40413</v>
      </c>
      <c r="B154" t="s">
        <v>226</v>
      </c>
      <c r="C154">
        <v>22.199000000000002</v>
      </c>
      <c r="D154">
        <v>382.17</v>
      </c>
      <c r="E154">
        <v>27.21</v>
      </c>
      <c r="F154">
        <v>2862</v>
      </c>
      <c r="G154">
        <v>16.5</v>
      </c>
      <c r="I154" s="102">
        <f t="shared" si="23"/>
        <v>137.28643315882715</v>
      </c>
      <c r="J154" s="103">
        <f t="shared" si="26"/>
        <v>28.692864530194875</v>
      </c>
      <c r="K154" s="75">
        <f t="shared" si="24"/>
        <v>287.95407380380135</v>
      </c>
      <c r="L154" s="75">
        <f t="shared" si="27"/>
        <v>215.98391398553977</v>
      </c>
      <c r="M154" s="102">
        <f t="shared" si="25"/>
        <v>11.09915836299238</v>
      </c>
      <c r="N154" s="102">
        <f t="shared" si="28"/>
        <v>346.8486988435119</v>
      </c>
    </row>
    <row r="155" spans="1:14">
      <c r="A155" s="101">
        <v>40413</v>
      </c>
      <c r="B155" t="s">
        <v>227</v>
      </c>
      <c r="C155">
        <v>22.366</v>
      </c>
      <c r="D155">
        <v>386.399</v>
      </c>
      <c r="E155">
        <v>27.09</v>
      </c>
      <c r="F155">
        <v>2863</v>
      </c>
      <c r="G155">
        <v>16.5</v>
      </c>
      <c r="I155" s="102">
        <f t="shared" si="23"/>
        <v>138.80961133381811</v>
      </c>
      <c r="J155" s="103">
        <f t="shared" si="26"/>
        <v>29.011208768767982</v>
      </c>
      <c r="K155" s="75">
        <f t="shared" si="24"/>
        <v>291.14889320820868</v>
      </c>
      <c r="L155" s="75">
        <f t="shared" si="27"/>
        <v>218.3802322258957</v>
      </c>
      <c r="M155" s="102">
        <f t="shared" si="25"/>
        <v>11.222302328424998</v>
      </c>
      <c r="N155" s="102">
        <f t="shared" si="28"/>
        <v>350.69694776328117</v>
      </c>
    </row>
    <row r="156" spans="1:14">
      <c r="A156" s="101">
        <v>40413</v>
      </c>
      <c r="B156" t="s">
        <v>228</v>
      </c>
      <c r="C156">
        <v>22.533000000000001</v>
      </c>
      <c r="D156">
        <v>383.22199999999998</v>
      </c>
      <c r="E156">
        <v>27.18</v>
      </c>
      <c r="F156">
        <v>2861</v>
      </c>
      <c r="G156">
        <v>16.5</v>
      </c>
      <c r="I156" s="102">
        <f t="shared" si="23"/>
        <v>137.66534706448968</v>
      </c>
      <c r="J156" s="103">
        <f t="shared" si="26"/>
        <v>28.772057536478343</v>
      </c>
      <c r="K156" s="75">
        <f t="shared" si="24"/>
        <v>288.74883407432424</v>
      </c>
      <c r="L156" s="75">
        <f t="shared" si="27"/>
        <v>216.58003485870614</v>
      </c>
      <c r="M156" s="102">
        <f t="shared" si="25"/>
        <v>11.129792310922415</v>
      </c>
      <c r="N156" s="102">
        <f t="shared" si="28"/>
        <v>347.80600971632549</v>
      </c>
    </row>
    <row r="157" spans="1:14">
      <c r="A157" s="101">
        <v>40413</v>
      </c>
      <c r="B157" t="s">
        <v>229</v>
      </c>
      <c r="C157">
        <v>22.7</v>
      </c>
      <c r="D157">
        <v>389.25</v>
      </c>
      <c r="E157">
        <v>27.01</v>
      </c>
      <c r="F157">
        <v>2859</v>
      </c>
      <c r="G157">
        <v>16.5</v>
      </c>
      <c r="I157" s="102">
        <f t="shared" si="23"/>
        <v>139.83629812453688</v>
      </c>
      <c r="J157" s="103">
        <f t="shared" si="26"/>
        <v>29.225786308028205</v>
      </c>
      <c r="K157" s="75">
        <f t="shared" si="24"/>
        <v>293.30233719466577</v>
      </c>
      <c r="L157" s="75">
        <f t="shared" si="27"/>
        <v>219.99545250946261</v>
      </c>
      <c r="M157" s="102">
        <f t="shared" si="25"/>
        <v>11.305306591972268</v>
      </c>
      <c r="N157" s="102">
        <f t="shared" si="28"/>
        <v>353.29083099913339</v>
      </c>
    </row>
    <row r="158" spans="1:14">
      <c r="A158" s="101">
        <v>40413</v>
      </c>
      <c r="B158" t="s">
        <v>230</v>
      </c>
      <c r="C158">
        <v>22.867000000000001</v>
      </c>
      <c r="D158">
        <v>389.25</v>
      </c>
      <c r="E158">
        <v>27.01</v>
      </c>
      <c r="F158">
        <v>2848</v>
      </c>
      <c r="G158">
        <v>16.5</v>
      </c>
      <c r="I158" s="102">
        <f t="shared" si="23"/>
        <v>139.83629812453688</v>
      </c>
      <c r="J158" s="103">
        <f t="shared" si="26"/>
        <v>29.225786308028205</v>
      </c>
      <c r="K158" s="75">
        <f t="shared" si="24"/>
        <v>293.30233719466577</v>
      </c>
      <c r="L158" s="75">
        <f t="shared" si="27"/>
        <v>219.99545250946261</v>
      </c>
      <c r="M158" s="102">
        <f t="shared" si="25"/>
        <v>11.305306591972268</v>
      </c>
      <c r="N158" s="102">
        <f t="shared" si="28"/>
        <v>353.29083099913339</v>
      </c>
    </row>
    <row r="159" spans="1:14">
      <c r="A159" s="101">
        <v>40413</v>
      </c>
      <c r="B159" t="s">
        <v>231</v>
      </c>
      <c r="C159">
        <v>23.033999999999999</v>
      </c>
      <c r="D159">
        <v>386.399</v>
      </c>
      <c r="E159">
        <v>27.09</v>
      </c>
      <c r="F159">
        <v>2852</v>
      </c>
      <c r="G159">
        <v>16.5</v>
      </c>
      <c r="I159" s="102">
        <f t="shared" si="23"/>
        <v>138.80961133381811</v>
      </c>
      <c r="J159" s="103">
        <f t="shared" si="26"/>
        <v>29.011208768767982</v>
      </c>
      <c r="K159" s="75">
        <f t="shared" si="24"/>
        <v>291.14889320820868</v>
      </c>
      <c r="L159" s="75">
        <f t="shared" si="27"/>
        <v>218.3802322258957</v>
      </c>
      <c r="M159" s="102">
        <f t="shared" si="25"/>
        <v>11.222302328424998</v>
      </c>
      <c r="N159" s="102">
        <f t="shared" si="28"/>
        <v>350.69694776328117</v>
      </c>
    </row>
    <row r="160" spans="1:14">
      <c r="A160" s="101">
        <v>40413</v>
      </c>
      <c r="B160" t="s">
        <v>232</v>
      </c>
      <c r="C160">
        <v>23.201000000000001</v>
      </c>
      <c r="D160">
        <v>391.04399999999998</v>
      </c>
      <c r="E160">
        <v>26.96</v>
      </c>
      <c r="F160">
        <v>2851</v>
      </c>
      <c r="G160">
        <v>16.5</v>
      </c>
      <c r="I160" s="102">
        <f t="shared" si="23"/>
        <v>140.48259579158355</v>
      </c>
      <c r="J160" s="103">
        <f t="shared" si="26"/>
        <v>29.360862520440961</v>
      </c>
      <c r="K160" s="75">
        <f t="shared" si="24"/>
        <v>294.65792668616831</v>
      </c>
      <c r="L160" s="75">
        <f t="shared" si="27"/>
        <v>221.01223105426584</v>
      </c>
      <c r="M160" s="102">
        <f t="shared" si="25"/>
        <v>11.357557641046323</v>
      </c>
      <c r="N160" s="102">
        <f t="shared" si="28"/>
        <v>354.92367628269761</v>
      </c>
    </row>
    <row r="161" spans="1:14">
      <c r="A161" s="101">
        <v>40413</v>
      </c>
      <c r="B161" t="s">
        <v>233</v>
      </c>
      <c r="C161">
        <v>23.367000000000001</v>
      </c>
      <c r="D161">
        <v>387.10899999999998</v>
      </c>
      <c r="E161">
        <v>27.07</v>
      </c>
      <c r="F161">
        <v>2847</v>
      </c>
      <c r="G161">
        <v>16.5</v>
      </c>
      <c r="I161" s="102">
        <f t="shared" si="23"/>
        <v>139.06543483814744</v>
      </c>
      <c r="J161" s="103">
        <f t="shared" si="26"/>
        <v>29.064675881172811</v>
      </c>
      <c r="K161" s="75">
        <f t="shared" si="24"/>
        <v>291.68547514534129</v>
      </c>
      <c r="L161" s="75">
        <f t="shared" si="27"/>
        <v>218.78270288875149</v>
      </c>
      <c r="M161" s="102">
        <f t="shared" si="25"/>
        <v>11.242984820658169</v>
      </c>
      <c r="N161" s="102">
        <f t="shared" si="28"/>
        <v>351.34327564556776</v>
      </c>
    </row>
    <row r="162" spans="1:14">
      <c r="A162" s="101">
        <v>40413</v>
      </c>
      <c r="B162" t="s">
        <v>234</v>
      </c>
      <c r="C162">
        <v>23.533999999999999</v>
      </c>
      <c r="D162">
        <v>393.57299999999998</v>
      </c>
      <c r="E162">
        <v>26.89</v>
      </c>
      <c r="F162">
        <v>2847</v>
      </c>
      <c r="G162">
        <v>16.5</v>
      </c>
      <c r="I162" s="102">
        <f t="shared" si="23"/>
        <v>141.3934378492132</v>
      </c>
      <c r="J162" s="103">
        <f t="shared" si="26"/>
        <v>29.551228510485558</v>
      </c>
      <c r="K162" s="75">
        <f t="shared" si="24"/>
        <v>296.56838990566848</v>
      </c>
      <c r="L162" s="75">
        <f t="shared" si="27"/>
        <v>222.44520027127442</v>
      </c>
      <c r="M162" s="102">
        <f t="shared" si="25"/>
        <v>11.431196237437049</v>
      </c>
      <c r="N162" s="102">
        <f t="shared" si="28"/>
        <v>357.22488241990777</v>
      </c>
    </row>
    <row r="163" spans="1:14">
      <c r="A163" s="101">
        <v>40413</v>
      </c>
      <c r="B163" t="s">
        <v>235</v>
      </c>
      <c r="C163">
        <v>23.701000000000001</v>
      </c>
      <c r="D163">
        <v>385.69</v>
      </c>
      <c r="E163">
        <v>27.11</v>
      </c>
      <c r="F163">
        <v>2843</v>
      </c>
      <c r="G163">
        <v>16.5</v>
      </c>
      <c r="I163" s="102">
        <f t="shared" si="23"/>
        <v>138.55435061782023</v>
      </c>
      <c r="J163" s="103">
        <f t="shared" si="26"/>
        <v>28.957859279124428</v>
      </c>
      <c r="K163" s="75">
        <f t="shared" si="24"/>
        <v>290.61349170230295</v>
      </c>
      <c r="L163" s="75">
        <f t="shared" si="27"/>
        <v>217.97864696171894</v>
      </c>
      <c r="M163" s="102">
        <f t="shared" si="25"/>
        <v>11.201665335784702</v>
      </c>
      <c r="N163" s="102">
        <f t="shared" si="28"/>
        <v>350.0520417432719</v>
      </c>
    </row>
    <row r="164" spans="1:14">
      <c r="A164" s="101">
        <v>40413</v>
      </c>
      <c r="B164" t="s">
        <v>236</v>
      </c>
      <c r="C164">
        <v>23.867999999999999</v>
      </c>
      <c r="D164">
        <v>385.26400000000001</v>
      </c>
      <c r="E164">
        <v>27.08</v>
      </c>
      <c r="F164">
        <v>2835</v>
      </c>
      <c r="G164">
        <v>16.600000000000001</v>
      </c>
      <c r="I164" s="102">
        <f t="shared" si="23"/>
        <v>138.67274679655208</v>
      </c>
      <c r="J164" s="103">
        <f t="shared" si="26"/>
        <v>28.982604080479383</v>
      </c>
      <c r="K164" s="75">
        <f t="shared" si="24"/>
        <v>290.82695585974136</v>
      </c>
      <c r="L164" s="75">
        <f t="shared" si="27"/>
        <v>218.1387586892946</v>
      </c>
      <c r="M164" s="102">
        <f t="shared" si="25"/>
        <v>11.189760711929003</v>
      </c>
      <c r="N164" s="102">
        <f t="shared" si="28"/>
        <v>349.68002224778132</v>
      </c>
    </row>
    <row r="165" spans="1:14">
      <c r="A165" s="101">
        <v>40413</v>
      </c>
      <c r="B165" t="s">
        <v>237</v>
      </c>
      <c r="C165">
        <v>24.035</v>
      </c>
      <c r="D165">
        <v>392.78</v>
      </c>
      <c r="E165">
        <v>26.87</v>
      </c>
      <c r="F165">
        <v>2839</v>
      </c>
      <c r="G165">
        <v>16.600000000000001</v>
      </c>
      <c r="I165" s="102">
        <f t="shared" si="23"/>
        <v>141.38523536234325</v>
      </c>
      <c r="J165" s="103">
        <f t="shared" si="26"/>
        <v>29.549514190729738</v>
      </c>
      <c r="K165" s="75">
        <f t="shared" si="24"/>
        <v>296.51563521900113</v>
      </c>
      <c r="L165" s="75">
        <f t="shared" si="27"/>
        <v>222.40563089287673</v>
      </c>
      <c r="M165" s="102">
        <f t="shared" si="25"/>
        <v>11.408636436872827</v>
      </c>
      <c r="N165" s="102">
        <f t="shared" si="28"/>
        <v>356.51988865227582</v>
      </c>
    </row>
    <row r="166" spans="1:14">
      <c r="A166" s="101">
        <v>40413</v>
      </c>
      <c r="B166" t="s">
        <v>238</v>
      </c>
      <c r="C166">
        <v>24.202000000000002</v>
      </c>
      <c r="D166">
        <v>389.53800000000001</v>
      </c>
      <c r="E166">
        <v>26.96</v>
      </c>
      <c r="F166">
        <v>2838</v>
      </c>
      <c r="G166">
        <v>16.600000000000001</v>
      </c>
      <c r="I166" s="102">
        <f t="shared" si="23"/>
        <v>140.21502574388882</v>
      </c>
      <c r="J166" s="103">
        <f t="shared" si="26"/>
        <v>29.304940380472761</v>
      </c>
      <c r="K166" s="75">
        <f t="shared" si="24"/>
        <v>294.06145075294893</v>
      </c>
      <c r="L166" s="75">
        <f t="shared" si="27"/>
        <v>220.56483607577812</v>
      </c>
      <c r="M166" s="102">
        <f t="shared" si="25"/>
        <v>11.31421005594512</v>
      </c>
      <c r="N166" s="102">
        <f t="shared" si="28"/>
        <v>353.56906424828497</v>
      </c>
    </row>
    <row r="167" spans="1:14">
      <c r="A167" s="101">
        <v>40413</v>
      </c>
      <c r="B167" t="s">
        <v>239</v>
      </c>
      <c r="C167">
        <v>24.369</v>
      </c>
      <c r="D167">
        <v>393.505</v>
      </c>
      <c r="E167">
        <v>26.85</v>
      </c>
      <c r="F167">
        <v>2833</v>
      </c>
      <c r="G167">
        <v>16.600000000000001</v>
      </c>
      <c r="I167" s="102">
        <f t="shared" si="23"/>
        <v>141.64687066045826</v>
      </c>
      <c r="J167" s="103">
        <f t="shared" si="26"/>
        <v>29.604195968035775</v>
      </c>
      <c r="K167" s="75">
        <f t="shared" si="24"/>
        <v>297.06434142879357</v>
      </c>
      <c r="L167" s="75">
        <f t="shared" si="27"/>
        <v>222.81719553321548</v>
      </c>
      <c r="M167" s="102">
        <f t="shared" si="25"/>
        <v>11.429748273533828</v>
      </c>
      <c r="N167" s="102">
        <f t="shared" si="28"/>
        <v>357.17963354793216</v>
      </c>
    </row>
    <row r="168" spans="1:14">
      <c r="A168" s="101">
        <v>40413</v>
      </c>
      <c r="B168" t="s">
        <v>240</v>
      </c>
      <c r="C168">
        <v>24.536000000000001</v>
      </c>
      <c r="D168">
        <v>391.33499999999998</v>
      </c>
      <c r="E168">
        <v>26.91</v>
      </c>
      <c r="F168">
        <v>2833</v>
      </c>
      <c r="G168">
        <v>16.600000000000001</v>
      </c>
      <c r="I168" s="102">
        <f t="shared" si="23"/>
        <v>140.86370202760094</v>
      </c>
      <c r="J168" s="103">
        <f t="shared" si="26"/>
        <v>29.440513723768596</v>
      </c>
      <c r="K168" s="75">
        <f t="shared" si="24"/>
        <v>295.42186621516782</v>
      </c>
      <c r="L168" s="75">
        <f t="shared" si="27"/>
        <v>221.5852344063004</v>
      </c>
      <c r="M168" s="102">
        <f t="shared" si="25"/>
        <v>11.366552946397064</v>
      </c>
      <c r="N168" s="102">
        <f t="shared" si="28"/>
        <v>355.20477957490823</v>
      </c>
    </row>
    <row r="169" spans="1:14">
      <c r="A169" s="101">
        <v>40413</v>
      </c>
      <c r="B169" t="s">
        <v>241</v>
      </c>
      <c r="C169">
        <v>24.702999999999999</v>
      </c>
      <c r="D169">
        <v>396.05500000000001</v>
      </c>
      <c r="E169">
        <v>26.78</v>
      </c>
      <c r="F169">
        <v>2828</v>
      </c>
      <c r="G169">
        <v>16.600000000000001</v>
      </c>
      <c r="I169" s="102">
        <f t="shared" si="23"/>
        <v>142.56718281423699</v>
      </c>
      <c r="J169" s="103">
        <f t="shared" si="26"/>
        <v>29.796541208175526</v>
      </c>
      <c r="K169" s="75">
        <f t="shared" si="24"/>
        <v>298.99443647852144</v>
      </c>
      <c r="L169" s="75">
        <f t="shared" si="27"/>
        <v>224.26488987453041</v>
      </c>
      <c r="M169" s="102">
        <f t="shared" si="25"/>
        <v>11.504009965315074</v>
      </c>
      <c r="N169" s="102">
        <f t="shared" si="28"/>
        <v>359.50031141609605</v>
      </c>
    </row>
    <row r="170" spans="1:14">
      <c r="A170" s="101">
        <v>40413</v>
      </c>
      <c r="B170" t="s">
        <v>242</v>
      </c>
      <c r="C170">
        <v>24.87</v>
      </c>
      <c r="D170">
        <v>391.33499999999998</v>
      </c>
      <c r="E170">
        <v>26.91</v>
      </c>
      <c r="F170">
        <v>2825</v>
      </c>
      <c r="G170">
        <v>16.600000000000001</v>
      </c>
      <c r="I170" s="102">
        <f t="shared" si="23"/>
        <v>140.86370202760094</v>
      </c>
      <c r="J170" s="103">
        <f t="shared" si="26"/>
        <v>29.440513723768596</v>
      </c>
      <c r="K170" s="75">
        <f t="shared" si="24"/>
        <v>295.42186621516782</v>
      </c>
      <c r="L170" s="75">
        <f t="shared" si="27"/>
        <v>221.5852344063004</v>
      </c>
      <c r="M170" s="102">
        <f t="shared" si="25"/>
        <v>11.366552946397064</v>
      </c>
      <c r="N170" s="102">
        <f t="shared" si="28"/>
        <v>355.20477957490823</v>
      </c>
    </row>
    <row r="171" spans="1:14">
      <c r="A171" s="101">
        <v>40413</v>
      </c>
      <c r="B171" t="s">
        <v>243</v>
      </c>
      <c r="C171">
        <v>25.036999999999999</v>
      </c>
      <c r="D171">
        <v>389.17899999999997</v>
      </c>
      <c r="E171">
        <v>26.97</v>
      </c>
      <c r="F171">
        <v>2824</v>
      </c>
      <c r="G171">
        <v>16.600000000000001</v>
      </c>
      <c r="I171" s="102">
        <f t="shared" si="23"/>
        <v>140.08572049008239</v>
      </c>
      <c r="J171" s="103">
        <f t="shared" si="26"/>
        <v>29.277915582427216</v>
      </c>
      <c r="K171" s="75">
        <f t="shared" si="24"/>
        <v>293.79026947032554</v>
      </c>
      <c r="L171" s="75">
        <f t="shared" si="27"/>
        <v>220.36143282453423</v>
      </c>
      <c r="M171" s="102">
        <f t="shared" si="25"/>
        <v>11.303776175587849</v>
      </c>
      <c r="N171" s="102">
        <f t="shared" si="28"/>
        <v>353.24300548712029</v>
      </c>
    </row>
    <row r="172" spans="1:14">
      <c r="A172" s="101">
        <v>40413</v>
      </c>
      <c r="B172" t="s">
        <v>244</v>
      </c>
      <c r="C172">
        <v>25.202999999999999</v>
      </c>
      <c r="D172">
        <v>393.142</v>
      </c>
      <c r="E172">
        <v>26.86</v>
      </c>
      <c r="F172">
        <v>2830</v>
      </c>
      <c r="G172">
        <v>16.600000000000001</v>
      </c>
      <c r="I172" s="102">
        <f t="shared" si="23"/>
        <v>141.51598045329496</v>
      </c>
      <c r="J172" s="103">
        <f t="shared" si="26"/>
        <v>29.576839914738642</v>
      </c>
      <c r="K172" s="75">
        <f t="shared" si="24"/>
        <v>296.78983615374483</v>
      </c>
      <c r="L172" s="75">
        <f t="shared" si="27"/>
        <v>222.61129907573005</v>
      </c>
      <c r="M172" s="102">
        <f t="shared" si="25"/>
        <v>11.419186500355419</v>
      </c>
      <c r="N172" s="102">
        <f t="shared" si="28"/>
        <v>356.84957813610686</v>
      </c>
    </row>
    <row r="173" spans="1:14">
      <c r="A173" s="101">
        <v>40413</v>
      </c>
      <c r="B173" t="s">
        <v>245</v>
      </c>
      <c r="C173">
        <v>25.37</v>
      </c>
      <c r="D173">
        <v>393.86799999999999</v>
      </c>
      <c r="E173">
        <v>26.84</v>
      </c>
      <c r="F173">
        <v>2819</v>
      </c>
      <c r="G173">
        <v>16.600000000000001</v>
      </c>
      <c r="I173" s="102">
        <f t="shared" si="23"/>
        <v>141.77790619106705</v>
      </c>
      <c r="J173" s="103">
        <f t="shared" si="26"/>
        <v>29.631582393933009</v>
      </c>
      <c r="K173" s="75">
        <f t="shared" si="24"/>
        <v>297.33915147876195</v>
      </c>
      <c r="L173" s="75">
        <f t="shared" si="27"/>
        <v>223.02332059132172</v>
      </c>
      <c r="M173" s="102">
        <f t="shared" si="25"/>
        <v>11.440321773130142</v>
      </c>
      <c r="N173" s="102">
        <f t="shared" si="28"/>
        <v>357.51005541031697</v>
      </c>
    </row>
    <row r="174" spans="1:14">
      <c r="A174" s="101">
        <v>40413</v>
      </c>
      <c r="B174" t="s">
        <v>246</v>
      </c>
      <c r="C174">
        <v>25.536999999999999</v>
      </c>
      <c r="D174">
        <v>397.88900000000001</v>
      </c>
      <c r="E174">
        <v>26.73</v>
      </c>
      <c r="F174">
        <v>2824</v>
      </c>
      <c r="G174">
        <v>16.600000000000001</v>
      </c>
      <c r="I174" s="102">
        <f t="shared" si="23"/>
        <v>143.22894797877703</v>
      </c>
      <c r="J174" s="103">
        <f t="shared" si="26"/>
        <v>29.934850127564395</v>
      </c>
      <c r="K174" s="75">
        <f t="shared" si="24"/>
        <v>300.38230217486881</v>
      </c>
      <c r="L174" s="75">
        <f t="shared" si="27"/>
        <v>225.30587763075022</v>
      </c>
      <c r="M174" s="102">
        <f t="shared" si="25"/>
        <v>11.557409021797</v>
      </c>
      <c r="N174" s="102">
        <f t="shared" si="28"/>
        <v>361.16903193115621</v>
      </c>
    </row>
    <row r="175" spans="1:14">
      <c r="A175" s="101">
        <v>40413</v>
      </c>
      <c r="B175" t="s">
        <v>247</v>
      </c>
      <c r="C175">
        <v>25.704000000000001</v>
      </c>
      <c r="D175">
        <v>393.86799999999999</v>
      </c>
      <c r="E175">
        <v>26.84</v>
      </c>
      <c r="F175">
        <v>2816</v>
      </c>
      <c r="G175">
        <v>16.600000000000001</v>
      </c>
      <c r="I175" s="102">
        <f t="shared" si="23"/>
        <v>141.77790619106705</v>
      </c>
      <c r="J175" s="103">
        <f t="shared" si="26"/>
        <v>29.631582393933009</v>
      </c>
      <c r="K175" s="75">
        <f t="shared" si="24"/>
        <v>297.33915147876195</v>
      </c>
      <c r="L175" s="75">
        <f t="shared" si="27"/>
        <v>223.02332059132172</v>
      </c>
      <c r="M175" s="102">
        <f t="shared" si="25"/>
        <v>11.440321773130142</v>
      </c>
      <c r="N175" s="102">
        <f t="shared" si="28"/>
        <v>357.51005541031697</v>
      </c>
    </row>
    <row r="176" spans="1:14">
      <c r="A176" s="101">
        <v>40413</v>
      </c>
      <c r="B176" t="s">
        <v>248</v>
      </c>
      <c r="C176">
        <v>25.870999999999999</v>
      </c>
      <c r="D176">
        <v>396.78699999999998</v>
      </c>
      <c r="E176">
        <v>26.76</v>
      </c>
      <c r="F176">
        <v>2820</v>
      </c>
      <c r="G176">
        <v>16.600000000000001</v>
      </c>
      <c r="I176" s="102">
        <f t="shared" si="23"/>
        <v>142.83144705828039</v>
      </c>
      <c r="J176" s="103">
        <f t="shared" si="26"/>
        <v>29.8517724351806</v>
      </c>
      <c r="K176" s="75">
        <f t="shared" si="24"/>
        <v>299.54865616056514</v>
      </c>
      <c r="L176" s="75">
        <f t="shared" si="27"/>
        <v>224.68058997057133</v>
      </c>
      <c r="M176" s="102">
        <f t="shared" si="25"/>
        <v>11.525333936490913</v>
      </c>
      <c r="N176" s="102">
        <f t="shared" si="28"/>
        <v>360.16668551534104</v>
      </c>
    </row>
    <row r="177" spans="1:14">
      <c r="A177" s="101">
        <v>40413</v>
      </c>
      <c r="B177" t="s">
        <v>249</v>
      </c>
      <c r="C177">
        <v>26.038</v>
      </c>
      <c r="D177">
        <v>393.505</v>
      </c>
      <c r="E177">
        <v>26.85</v>
      </c>
      <c r="F177">
        <v>2812</v>
      </c>
      <c r="G177">
        <v>16.600000000000001</v>
      </c>
      <c r="I177" s="102">
        <f t="shared" si="23"/>
        <v>141.64687066045826</v>
      </c>
      <c r="J177" s="103">
        <f t="shared" si="26"/>
        <v>29.604195968035775</v>
      </c>
      <c r="K177" s="75">
        <f t="shared" si="24"/>
        <v>297.06434142879357</v>
      </c>
      <c r="L177" s="75">
        <f t="shared" si="27"/>
        <v>222.81719553321548</v>
      </c>
      <c r="M177" s="102">
        <f t="shared" si="25"/>
        <v>11.429748273533828</v>
      </c>
      <c r="N177" s="102">
        <f t="shared" si="28"/>
        <v>357.17963354793216</v>
      </c>
    </row>
    <row r="178" spans="1:14">
      <c r="A178" s="101">
        <v>40413</v>
      </c>
      <c r="B178" t="s">
        <v>250</v>
      </c>
      <c r="C178">
        <v>26.204999999999998</v>
      </c>
      <c r="D178">
        <v>394.96</v>
      </c>
      <c r="E178">
        <v>26.81</v>
      </c>
      <c r="F178">
        <v>2807</v>
      </c>
      <c r="G178">
        <v>16.600000000000001</v>
      </c>
      <c r="I178" s="102">
        <f t="shared" si="23"/>
        <v>142.17188680090834</v>
      </c>
      <c r="J178" s="103">
        <f t="shared" si="26"/>
        <v>29.713924341389841</v>
      </c>
      <c r="K178" s="75">
        <f t="shared" si="24"/>
        <v>298.165414634824</v>
      </c>
      <c r="L178" s="75">
        <f t="shared" si="27"/>
        <v>223.64307063712215</v>
      </c>
      <c r="M178" s="102">
        <f t="shared" si="25"/>
        <v>11.472112798051077</v>
      </c>
      <c r="N178" s="102">
        <f t="shared" si="28"/>
        <v>358.50352493909617</v>
      </c>
    </row>
    <row r="179" spans="1:14">
      <c r="A179" s="101">
        <v>40413</v>
      </c>
      <c r="B179" t="s">
        <v>251</v>
      </c>
      <c r="C179">
        <v>26.372</v>
      </c>
      <c r="D179">
        <v>397.88900000000001</v>
      </c>
      <c r="E179">
        <v>26.73</v>
      </c>
      <c r="F179">
        <v>2804</v>
      </c>
      <c r="G179">
        <v>16.600000000000001</v>
      </c>
      <c r="I179" s="102">
        <f t="shared" si="23"/>
        <v>143.22894797877703</v>
      </c>
      <c r="J179" s="103">
        <f t="shared" si="26"/>
        <v>29.934850127564395</v>
      </c>
      <c r="K179" s="75">
        <f t="shared" si="24"/>
        <v>300.38230217486881</v>
      </c>
      <c r="L179" s="75">
        <f t="shared" si="27"/>
        <v>225.30587763075022</v>
      </c>
      <c r="M179" s="102">
        <f t="shared" si="25"/>
        <v>11.557409021797</v>
      </c>
      <c r="N179" s="102">
        <f t="shared" si="28"/>
        <v>361.16903193115621</v>
      </c>
    </row>
    <row r="180" spans="1:14">
      <c r="A180" s="101">
        <v>40413</v>
      </c>
      <c r="B180" t="s">
        <v>252</v>
      </c>
      <c r="C180">
        <v>26.539000000000001</v>
      </c>
      <c r="D180">
        <v>397.88900000000001</v>
      </c>
      <c r="E180">
        <v>26.73</v>
      </c>
      <c r="F180">
        <v>2804</v>
      </c>
      <c r="G180">
        <v>16.600000000000001</v>
      </c>
      <c r="I180" s="102">
        <f t="shared" si="23"/>
        <v>143.22894797877703</v>
      </c>
      <c r="J180" s="103">
        <f t="shared" si="26"/>
        <v>29.934850127564395</v>
      </c>
      <c r="K180" s="75">
        <f t="shared" si="24"/>
        <v>300.38230217486881</v>
      </c>
      <c r="L180" s="75">
        <f t="shared" si="27"/>
        <v>225.30587763075022</v>
      </c>
      <c r="M180" s="102">
        <f t="shared" si="25"/>
        <v>11.557409021797</v>
      </c>
      <c r="N180" s="102">
        <f t="shared" si="28"/>
        <v>361.16903193115621</v>
      </c>
    </row>
    <row r="181" spans="1:14">
      <c r="A181" s="101">
        <v>40413</v>
      </c>
      <c r="B181" t="s">
        <v>253</v>
      </c>
      <c r="C181">
        <v>26.706</v>
      </c>
      <c r="D181">
        <v>398.625</v>
      </c>
      <c r="E181">
        <v>26.71</v>
      </c>
      <c r="F181">
        <v>2805</v>
      </c>
      <c r="G181">
        <v>16.600000000000001</v>
      </c>
      <c r="I181" s="102">
        <f t="shared" si="23"/>
        <v>143.49468742292279</v>
      </c>
      <c r="J181" s="103">
        <f t="shared" si="26"/>
        <v>29.990389671390862</v>
      </c>
      <c r="K181" s="75">
        <f t="shared" si="24"/>
        <v>300.93961567285669</v>
      </c>
      <c r="L181" s="75">
        <f t="shared" si="27"/>
        <v>225.72389828599682</v>
      </c>
      <c r="M181" s="102">
        <f t="shared" si="25"/>
        <v>11.578852029600652</v>
      </c>
      <c r="N181" s="102">
        <f t="shared" si="28"/>
        <v>361.83912592502037</v>
      </c>
    </row>
    <row r="182" spans="1:14">
      <c r="A182" s="101">
        <v>40413</v>
      </c>
      <c r="B182" t="s">
        <v>254</v>
      </c>
      <c r="C182">
        <v>26.872</v>
      </c>
      <c r="D182">
        <v>394.96</v>
      </c>
      <c r="E182">
        <v>26.81</v>
      </c>
      <c r="F182">
        <v>2796</v>
      </c>
      <c r="G182">
        <v>16.600000000000001</v>
      </c>
      <c r="I182" s="102">
        <f t="shared" si="23"/>
        <v>142.17188680090834</v>
      </c>
      <c r="J182" s="103">
        <f t="shared" si="26"/>
        <v>29.713924341389841</v>
      </c>
      <c r="K182" s="75">
        <f t="shared" si="24"/>
        <v>298.165414634824</v>
      </c>
      <c r="L182" s="75">
        <f t="shared" si="27"/>
        <v>223.64307063712215</v>
      </c>
      <c r="M182" s="102">
        <f t="shared" si="25"/>
        <v>11.472112798051077</v>
      </c>
      <c r="N182" s="102">
        <f t="shared" si="28"/>
        <v>358.50352493909617</v>
      </c>
    </row>
    <row r="183" spans="1:14">
      <c r="A183" s="101">
        <v>40413</v>
      </c>
      <c r="B183" t="s">
        <v>255</v>
      </c>
      <c r="C183">
        <v>27.039000000000001</v>
      </c>
      <c r="D183">
        <v>398.625</v>
      </c>
      <c r="E183">
        <v>26.71</v>
      </c>
      <c r="F183">
        <v>2801</v>
      </c>
      <c r="G183">
        <v>16.600000000000001</v>
      </c>
      <c r="I183" s="102">
        <f t="shared" si="23"/>
        <v>143.49468742292279</v>
      </c>
      <c r="J183" s="103">
        <f t="shared" si="26"/>
        <v>29.990389671390862</v>
      </c>
      <c r="K183" s="75">
        <f t="shared" si="24"/>
        <v>300.93961567285669</v>
      </c>
      <c r="L183" s="75">
        <f t="shared" si="27"/>
        <v>225.72389828599682</v>
      </c>
      <c r="M183" s="102">
        <f t="shared" si="25"/>
        <v>11.578852029600652</v>
      </c>
      <c r="N183" s="102">
        <f t="shared" si="28"/>
        <v>361.83912592502037</v>
      </c>
    </row>
    <row r="184" spans="1:14">
      <c r="A184" s="101">
        <v>40413</v>
      </c>
      <c r="B184" t="s">
        <v>256</v>
      </c>
      <c r="C184">
        <v>27.206</v>
      </c>
      <c r="D184">
        <v>398.25700000000001</v>
      </c>
      <c r="E184">
        <v>26.72</v>
      </c>
      <c r="F184">
        <v>2805</v>
      </c>
      <c r="G184">
        <v>16.600000000000001</v>
      </c>
      <c r="I184" s="102">
        <f t="shared" si="23"/>
        <v>143.36174367684174</v>
      </c>
      <c r="J184" s="103">
        <f t="shared" si="26"/>
        <v>29.962604428459922</v>
      </c>
      <c r="K184" s="75">
        <f t="shared" si="24"/>
        <v>300.66080367939361</v>
      </c>
      <c r="L184" s="75">
        <f t="shared" si="27"/>
        <v>225.51477151512398</v>
      </c>
      <c r="M184" s="102">
        <f t="shared" si="25"/>
        <v>11.568124552564541</v>
      </c>
      <c r="N184" s="102">
        <f t="shared" si="28"/>
        <v>361.5038922676419</v>
      </c>
    </row>
    <row r="185" spans="1:14">
      <c r="A185" s="101">
        <v>40413</v>
      </c>
      <c r="B185" t="s">
        <v>257</v>
      </c>
      <c r="C185">
        <v>27.373000000000001</v>
      </c>
      <c r="D185">
        <v>405.32600000000002</v>
      </c>
      <c r="E185">
        <v>26.53</v>
      </c>
      <c r="F185">
        <v>2791</v>
      </c>
      <c r="G185">
        <v>16.600000000000001</v>
      </c>
      <c r="I185" s="102">
        <f t="shared" si="23"/>
        <v>145.91323434912874</v>
      </c>
      <c r="J185" s="103">
        <f t="shared" si="26"/>
        <v>30.495865978967903</v>
      </c>
      <c r="K185" s="75">
        <f t="shared" si="24"/>
        <v>306.01183538726349</v>
      </c>
      <c r="L185" s="75">
        <f t="shared" si="27"/>
        <v>229.52838645329612</v>
      </c>
      <c r="M185" s="102">
        <f t="shared" si="25"/>
        <v>11.774009059370318</v>
      </c>
      <c r="N185" s="102">
        <f t="shared" si="28"/>
        <v>367.93778310532241</v>
      </c>
    </row>
    <row r="186" spans="1:14">
      <c r="A186" s="101">
        <v>40413</v>
      </c>
      <c r="B186" t="s">
        <v>258</v>
      </c>
      <c r="C186">
        <v>27.54</v>
      </c>
      <c r="D186">
        <v>405.702</v>
      </c>
      <c r="E186">
        <v>26.52</v>
      </c>
      <c r="F186">
        <v>2793</v>
      </c>
      <c r="G186">
        <v>16.600000000000001</v>
      </c>
      <c r="I186" s="102">
        <f t="shared" si="23"/>
        <v>146.04903166994828</v>
      </c>
      <c r="J186" s="103">
        <f t="shared" si="26"/>
        <v>30.524247619019189</v>
      </c>
      <c r="K186" s="75">
        <f t="shared" si="24"/>
        <v>306.29663194852145</v>
      </c>
      <c r="L186" s="75">
        <f t="shared" si="27"/>
        <v>229.74200203156377</v>
      </c>
      <c r="M186" s="102">
        <f t="shared" si="25"/>
        <v>11.784966796635889</v>
      </c>
      <c r="N186" s="102">
        <f t="shared" si="28"/>
        <v>368.28021239487151</v>
      </c>
    </row>
    <row r="187" spans="1:14">
      <c r="A187" s="101">
        <v>40413</v>
      </c>
      <c r="B187" t="s">
        <v>259</v>
      </c>
      <c r="C187">
        <v>27.707000000000001</v>
      </c>
      <c r="D187">
        <v>400.47300000000001</v>
      </c>
      <c r="E187">
        <v>26.66</v>
      </c>
      <c r="F187">
        <v>2789</v>
      </c>
      <c r="G187">
        <v>16.600000000000001</v>
      </c>
      <c r="I187" s="102">
        <f t="shared" si="23"/>
        <v>144.16163430380234</v>
      </c>
      <c r="J187" s="103">
        <f t="shared" si="26"/>
        <v>30.129781569494689</v>
      </c>
      <c r="K187" s="75">
        <f t="shared" si="24"/>
        <v>302.3383485570543</v>
      </c>
      <c r="L187" s="75">
        <f t="shared" si="27"/>
        <v>226.77303712594642</v>
      </c>
      <c r="M187" s="102">
        <f t="shared" si="25"/>
        <v>11.632669208368725</v>
      </c>
      <c r="N187" s="102">
        <f t="shared" si="28"/>
        <v>363.52091276152265</v>
      </c>
    </row>
    <row r="188" spans="1:14">
      <c r="A188" s="101">
        <v>40413</v>
      </c>
      <c r="B188" t="s">
        <v>260</v>
      </c>
      <c r="C188">
        <v>27.873999999999999</v>
      </c>
      <c r="D188">
        <v>403.077</v>
      </c>
      <c r="E188">
        <v>26.59</v>
      </c>
      <c r="F188">
        <v>2792</v>
      </c>
      <c r="G188">
        <v>16.600000000000001</v>
      </c>
      <c r="I188" s="102">
        <f t="shared" si="23"/>
        <v>145.10163761393355</v>
      </c>
      <c r="J188" s="103">
        <f t="shared" si="26"/>
        <v>30.32624226131211</v>
      </c>
      <c r="K188" s="75">
        <f t="shared" si="24"/>
        <v>304.30974025079939</v>
      </c>
      <c r="L188" s="75">
        <f t="shared" si="27"/>
        <v>228.25170658315909</v>
      </c>
      <c r="M188" s="102">
        <f t="shared" si="25"/>
        <v>11.708519816017109</v>
      </c>
      <c r="N188" s="102">
        <f t="shared" si="28"/>
        <v>365.89124425053467</v>
      </c>
    </row>
    <row r="189" spans="1:14">
      <c r="A189" s="101">
        <v>40413</v>
      </c>
      <c r="B189" t="s">
        <v>261</v>
      </c>
      <c r="C189">
        <v>28.041</v>
      </c>
      <c r="D189">
        <v>402.70400000000001</v>
      </c>
      <c r="E189">
        <v>26.6</v>
      </c>
      <c r="F189">
        <v>2786</v>
      </c>
      <c r="G189">
        <v>16.600000000000001</v>
      </c>
      <c r="I189" s="102">
        <f t="shared" si="23"/>
        <v>144.96690066150197</v>
      </c>
      <c r="J189" s="103">
        <f t="shared" si="26"/>
        <v>30.298082238253912</v>
      </c>
      <c r="K189" s="75">
        <f t="shared" si="24"/>
        <v>304.02716751302137</v>
      </c>
      <c r="L189" s="75">
        <f t="shared" si="27"/>
        <v>228.03975901428223</v>
      </c>
      <c r="M189" s="102">
        <f t="shared" si="25"/>
        <v>11.697647641840193</v>
      </c>
      <c r="N189" s="102">
        <f t="shared" si="28"/>
        <v>365.55148880750602</v>
      </c>
    </row>
    <row r="190" spans="1:14">
      <c r="A190" s="101"/>
      <c r="I190" s="102"/>
      <c r="J190" s="103"/>
      <c r="K190" s="75"/>
      <c r="L190" s="75"/>
      <c r="M190" s="102"/>
      <c r="N190" s="102"/>
    </row>
    <row r="191" spans="1:14">
      <c r="A191" s="101"/>
      <c r="I191" s="102"/>
      <c r="J191" s="103"/>
      <c r="K191" s="75"/>
      <c r="L191" s="75"/>
      <c r="M191" s="102"/>
      <c r="N191" s="102"/>
    </row>
    <row r="192" spans="1:14">
      <c r="A192" s="101"/>
      <c r="I192" s="102"/>
      <c r="J192" s="103"/>
      <c r="K192" s="75"/>
      <c r="L192" s="75"/>
      <c r="M192" s="102"/>
      <c r="N192" s="102"/>
    </row>
    <row r="193" spans="1:14">
      <c r="A193" s="101"/>
      <c r="I193" s="102"/>
      <c r="J193" s="103"/>
      <c r="K193" s="75"/>
      <c r="L193" s="75"/>
      <c r="M193" s="102"/>
      <c r="N193" s="102"/>
    </row>
    <row r="194" spans="1:14">
      <c r="A194" s="101"/>
      <c r="I194" s="102"/>
      <c r="J194" s="103"/>
      <c r="K194" s="75"/>
      <c r="L194" s="75"/>
      <c r="M194" s="102"/>
      <c r="N194" s="102"/>
    </row>
    <row r="195" spans="1:14">
      <c r="A195" s="101"/>
      <c r="I195" s="102"/>
      <c r="J195" s="103"/>
      <c r="K195" s="75"/>
      <c r="L195" s="75"/>
      <c r="M195" s="102"/>
      <c r="N195" s="102"/>
    </row>
    <row r="196" spans="1:14">
      <c r="A196" s="101"/>
      <c r="I196" s="102"/>
      <c r="J196" s="103"/>
      <c r="K196" s="75"/>
      <c r="L196" s="75"/>
      <c r="M196" s="102"/>
      <c r="N196" s="102"/>
    </row>
    <row r="197" spans="1:14">
      <c r="A197" s="101"/>
      <c r="I197" s="102"/>
      <c r="J197" s="103"/>
      <c r="K197" s="75"/>
      <c r="L197" s="75"/>
      <c r="M197" s="102"/>
      <c r="N197" s="102"/>
    </row>
    <row r="198" spans="1:14">
      <c r="A198" s="101"/>
      <c r="I198" s="102"/>
      <c r="J198" s="103"/>
      <c r="K198" s="75"/>
      <c r="L198" s="75"/>
      <c r="M198" s="102"/>
      <c r="N198" s="102"/>
    </row>
    <row r="199" spans="1:14">
      <c r="A199" s="101"/>
      <c r="I199" s="102"/>
      <c r="J199" s="103"/>
      <c r="K199" s="75"/>
      <c r="L199" s="75"/>
      <c r="M199" s="102"/>
      <c r="N199" s="102"/>
    </row>
    <row r="200" spans="1:14">
      <c r="A200" s="101"/>
      <c r="I200" s="102"/>
      <c r="J200" s="103"/>
      <c r="K200" s="75"/>
      <c r="L200" s="75"/>
      <c r="M200" s="102"/>
      <c r="N200" s="102"/>
    </row>
    <row r="201" spans="1:14">
      <c r="A201" s="101"/>
      <c r="I201" s="102"/>
      <c r="J201" s="103"/>
      <c r="K201" s="75"/>
      <c r="L201" s="75"/>
      <c r="M201" s="102"/>
      <c r="N201" s="102"/>
    </row>
    <row r="202" spans="1:14">
      <c r="A202" s="101"/>
      <c r="I202" s="102"/>
      <c r="J202" s="103"/>
      <c r="K202" s="75"/>
      <c r="L202" s="75"/>
      <c r="M202" s="102"/>
      <c r="N202" s="102"/>
    </row>
    <row r="203" spans="1:14">
      <c r="A203" s="101"/>
      <c r="I203" s="102"/>
      <c r="J203" s="103"/>
      <c r="K203" s="75"/>
      <c r="L203" s="75"/>
      <c r="M203" s="102"/>
      <c r="N203" s="102"/>
    </row>
    <row r="204" spans="1:14">
      <c r="A204" s="101"/>
      <c r="I204" s="102"/>
      <c r="J204" s="103"/>
      <c r="K204" s="75"/>
      <c r="L204" s="75"/>
      <c r="M204" s="102"/>
      <c r="N204" s="102"/>
    </row>
    <row r="205" spans="1:14">
      <c r="A205" s="101"/>
      <c r="I205" s="102"/>
      <c r="J205" s="103"/>
      <c r="K205" s="75"/>
      <c r="L205" s="75"/>
      <c r="M205" s="102"/>
      <c r="N205" s="102"/>
    </row>
    <row r="206" spans="1:14">
      <c r="A206" s="101"/>
      <c r="I206" s="102"/>
      <c r="J206" s="103"/>
      <c r="K206" s="75"/>
      <c r="L206" s="75"/>
      <c r="M206" s="102"/>
      <c r="N206" s="102"/>
    </row>
    <row r="207" spans="1:14">
      <c r="A207" s="101"/>
      <c r="I207" s="102"/>
      <c r="J207" s="103"/>
      <c r="K207" s="75"/>
      <c r="L207" s="75"/>
      <c r="M207" s="102"/>
      <c r="N207" s="102"/>
    </row>
    <row r="208" spans="1:14">
      <c r="A208" s="101"/>
      <c r="I208" s="102"/>
      <c r="J208" s="103"/>
      <c r="K208" s="75"/>
      <c r="L208" s="75"/>
      <c r="M208" s="102"/>
      <c r="N208" s="102"/>
    </row>
    <row r="209" spans="1:14">
      <c r="A209" s="101"/>
      <c r="I209" s="102"/>
      <c r="J209" s="103"/>
      <c r="K209" s="75"/>
      <c r="L209" s="75"/>
      <c r="M209" s="102"/>
      <c r="N209" s="102"/>
    </row>
    <row r="210" spans="1:14">
      <c r="A210" s="101"/>
      <c r="I210" s="102"/>
      <c r="J210" s="103"/>
      <c r="K210" s="75"/>
      <c r="L210" s="75"/>
      <c r="M210" s="102"/>
      <c r="N210" s="102"/>
    </row>
    <row r="211" spans="1:14">
      <c r="A211" s="101"/>
      <c r="I211" s="102"/>
      <c r="J211" s="103"/>
      <c r="K211" s="75"/>
      <c r="L211" s="75"/>
      <c r="M211" s="102"/>
      <c r="N211" s="102"/>
    </row>
    <row r="212" spans="1:14">
      <c r="A212" s="101"/>
      <c r="I212" s="102"/>
      <c r="J212" s="103"/>
      <c r="K212" s="75"/>
      <c r="L212" s="75"/>
      <c r="M212" s="102"/>
      <c r="N212" s="102"/>
    </row>
    <row r="213" spans="1:14">
      <c r="A213" s="101"/>
      <c r="I213" s="102"/>
      <c r="J213" s="103"/>
      <c r="K213" s="75"/>
      <c r="L213" s="75"/>
      <c r="M213" s="102"/>
      <c r="N213" s="102"/>
    </row>
    <row r="214" spans="1:14">
      <c r="A214" s="101"/>
      <c r="I214" s="102"/>
      <c r="J214" s="103"/>
      <c r="K214" s="75"/>
      <c r="L214" s="75"/>
      <c r="M214" s="102"/>
      <c r="N214" s="102"/>
    </row>
    <row r="215" spans="1:14">
      <c r="A215" s="101"/>
      <c r="I215" s="102"/>
      <c r="J215" s="103"/>
      <c r="K215" s="75"/>
      <c r="L215" s="75"/>
      <c r="M215" s="102"/>
      <c r="N215" s="102"/>
    </row>
    <row r="216" spans="1:14">
      <c r="A216" s="101"/>
      <c r="I216" s="102"/>
      <c r="J216" s="103"/>
      <c r="K216" s="75"/>
      <c r="L216" s="75"/>
      <c r="M216" s="102"/>
      <c r="N216" s="102"/>
    </row>
    <row r="217" spans="1:14">
      <c r="A217" s="101"/>
      <c r="I217" s="102"/>
      <c r="J217" s="103"/>
      <c r="K217" s="75"/>
      <c r="L217" s="75"/>
      <c r="M217" s="102"/>
      <c r="N217" s="102"/>
    </row>
    <row r="218" spans="1:14">
      <c r="A218" s="101"/>
      <c r="I218" s="102"/>
      <c r="J218" s="103"/>
      <c r="K218" s="75"/>
      <c r="L218" s="75"/>
      <c r="M218" s="102"/>
      <c r="N218" s="102"/>
    </row>
    <row r="219" spans="1:14">
      <c r="A219" s="101"/>
      <c r="I219" s="102"/>
      <c r="J219" s="103"/>
      <c r="K219" s="75"/>
      <c r="L219" s="75"/>
      <c r="M219" s="102"/>
      <c r="N219" s="102"/>
    </row>
    <row r="220" spans="1:14">
      <c r="A220" s="101"/>
      <c r="I220" s="102"/>
      <c r="J220" s="103"/>
      <c r="K220" s="75"/>
      <c r="L220" s="75"/>
      <c r="M220" s="102"/>
      <c r="N220" s="102"/>
    </row>
    <row r="221" spans="1:14">
      <c r="A221" s="101"/>
      <c r="I221" s="102"/>
      <c r="J221" s="103"/>
      <c r="K221" s="75"/>
      <c r="L221" s="75"/>
      <c r="M221" s="102"/>
      <c r="N221" s="102"/>
    </row>
    <row r="222" spans="1:14">
      <c r="A222" s="101"/>
      <c r="I222" s="102"/>
      <c r="J222" s="103"/>
      <c r="K222" s="75"/>
      <c r="L222" s="75"/>
      <c r="M222" s="102"/>
      <c r="N222" s="102"/>
    </row>
    <row r="223" spans="1:14">
      <c r="A223" s="101"/>
      <c r="I223" s="102"/>
      <c r="J223" s="103"/>
      <c r="K223" s="75"/>
      <c r="L223" s="75"/>
      <c r="M223" s="102"/>
      <c r="N223" s="102"/>
    </row>
    <row r="224" spans="1:14">
      <c r="A224" s="101"/>
      <c r="I224" s="102"/>
      <c r="J224" s="103"/>
      <c r="K224" s="75"/>
      <c r="L224" s="75"/>
      <c r="M224" s="102"/>
      <c r="N224" s="102"/>
    </row>
    <row r="225" spans="1:14">
      <c r="A225" s="101"/>
      <c r="I225" s="102"/>
      <c r="J225" s="103"/>
      <c r="K225" s="75"/>
      <c r="L225" s="75"/>
      <c r="M225" s="102"/>
      <c r="N225" s="102"/>
    </row>
    <row r="226" spans="1:14">
      <c r="A226" s="101"/>
      <c r="I226" s="102"/>
      <c r="J226" s="103"/>
      <c r="K226" s="75"/>
      <c r="L226" s="75"/>
      <c r="M226" s="102"/>
      <c r="N226" s="102"/>
    </row>
    <row r="227" spans="1:14">
      <c r="A227" s="101"/>
      <c r="I227" s="102"/>
      <c r="J227" s="103"/>
      <c r="K227" s="75"/>
      <c r="L227" s="75"/>
      <c r="M227" s="102"/>
      <c r="N227" s="102"/>
    </row>
    <row r="228" spans="1:14">
      <c r="A228" s="101"/>
      <c r="I228" s="102"/>
      <c r="J228" s="103"/>
      <c r="K228" s="75"/>
      <c r="L228" s="75"/>
      <c r="M228" s="102"/>
      <c r="N228" s="102"/>
    </row>
    <row r="229" spans="1:14">
      <c r="A229" s="101"/>
      <c r="I229" s="102"/>
      <c r="J229" s="103"/>
      <c r="K229" s="75"/>
      <c r="L229" s="75"/>
      <c r="M229" s="102"/>
      <c r="N229" s="102"/>
    </row>
    <row r="230" spans="1:14">
      <c r="A230" s="101"/>
      <c r="I230" s="102"/>
      <c r="J230" s="103"/>
      <c r="K230" s="75"/>
      <c r="L230" s="75"/>
      <c r="M230" s="102"/>
      <c r="N230" s="102"/>
    </row>
    <row r="231" spans="1:14">
      <c r="A231" s="101"/>
      <c r="I231" s="102"/>
      <c r="J231" s="103"/>
      <c r="K231" s="75"/>
      <c r="L231" s="75"/>
      <c r="M231" s="102"/>
      <c r="N231" s="102"/>
    </row>
    <row r="232" spans="1:14">
      <c r="A232" s="101"/>
      <c r="I232" s="102"/>
      <c r="J232" s="103"/>
      <c r="K232" s="75"/>
      <c r="L232" s="75"/>
      <c r="M232" s="102"/>
      <c r="N232" s="102"/>
    </row>
    <row r="233" spans="1:14">
      <c r="A233" s="101"/>
      <c r="I233" s="102"/>
      <c r="J233" s="103"/>
      <c r="K233" s="75"/>
      <c r="L233" s="75"/>
      <c r="M233" s="102"/>
      <c r="N233" s="102"/>
    </row>
    <row r="234" spans="1:14">
      <c r="A234" s="101"/>
      <c r="I234" s="102"/>
      <c r="J234" s="103"/>
      <c r="K234" s="75"/>
      <c r="L234" s="75"/>
      <c r="M234" s="102"/>
      <c r="N234" s="102"/>
    </row>
    <row r="235" spans="1:14">
      <c r="A235" s="101"/>
      <c r="I235" s="102"/>
      <c r="J235" s="103"/>
      <c r="K235" s="75"/>
      <c r="L235" s="75"/>
      <c r="M235" s="102"/>
      <c r="N235" s="102"/>
    </row>
    <row r="236" spans="1:14">
      <c r="A236" s="101"/>
      <c r="I236" s="102"/>
      <c r="J236" s="103"/>
      <c r="K236" s="75"/>
      <c r="L236" s="75"/>
      <c r="M236" s="102"/>
      <c r="N236" s="102"/>
    </row>
    <row r="237" spans="1:14">
      <c r="A237" s="101"/>
      <c r="I237" s="102"/>
      <c r="J237" s="103"/>
      <c r="K237" s="75"/>
      <c r="L237" s="75"/>
      <c r="M237" s="102"/>
      <c r="N237" s="102"/>
    </row>
    <row r="238" spans="1:14">
      <c r="A238" s="101"/>
      <c r="I238" s="102"/>
      <c r="J238" s="103"/>
      <c r="K238" s="75"/>
      <c r="L238" s="75"/>
      <c r="M238" s="102"/>
      <c r="N238" s="102"/>
    </row>
    <row r="239" spans="1:14">
      <c r="A239" s="101"/>
      <c r="I239" s="102"/>
      <c r="J239" s="103"/>
      <c r="K239" s="75"/>
      <c r="L239" s="75"/>
      <c r="M239" s="102"/>
      <c r="N239" s="102"/>
    </row>
    <row r="240" spans="1:14">
      <c r="A240" s="101"/>
      <c r="I240" s="102"/>
      <c r="J240" s="103"/>
      <c r="K240" s="75"/>
      <c r="L240" s="75"/>
      <c r="M240" s="102"/>
      <c r="N240" s="102"/>
    </row>
    <row r="241" spans="1:14">
      <c r="A241" s="101"/>
      <c r="I241" s="102"/>
      <c r="J241" s="103"/>
      <c r="K241" s="75"/>
      <c r="L241" s="75"/>
      <c r="M241" s="102"/>
      <c r="N241" s="102"/>
    </row>
    <row r="242" spans="1:14">
      <c r="A242" s="101"/>
      <c r="I242" s="102"/>
      <c r="J242" s="103"/>
      <c r="K242" s="75"/>
      <c r="L242" s="75"/>
      <c r="M242" s="102"/>
      <c r="N242" s="102"/>
    </row>
    <row r="243" spans="1:14">
      <c r="A243" s="101"/>
      <c r="I243" s="102"/>
      <c r="J243" s="103"/>
      <c r="K243" s="75"/>
      <c r="L243" s="75"/>
      <c r="M243" s="102"/>
      <c r="N243" s="102"/>
    </row>
    <row r="244" spans="1:14">
      <c r="A244" s="101"/>
      <c r="I244" s="102"/>
      <c r="J244" s="103"/>
      <c r="K244" s="75"/>
      <c r="L244" s="75"/>
      <c r="M244" s="102"/>
      <c r="N244" s="102"/>
    </row>
    <row r="245" spans="1:14">
      <c r="A245" s="101"/>
      <c r="I245" s="102"/>
      <c r="J245" s="103"/>
      <c r="K245" s="75"/>
      <c r="L245" s="75"/>
      <c r="M245" s="102"/>
      <c r="N245" s="102"/>
    </row>
    <row r="246" spans="1:14">
      <c r="A246" s="101"/>
      <c r="I246" s="102"/>
      <c r="J246" s="103"/>
      <c r="K246" s="75"/>
      <c r="L246" s="75"/>
      <c r="M246" s="102"/>
      <c r="N246" s="102"/>
    </row>
    <row r="247" spans="1:14">
      <c r="A247" s="101"/>
      <c r="I247" s="102"/>
      <c r="J247" s="103"/>
      <c r="K247" s="75"/>
      <c r="L247" s="75"/>
      <c r="M247" s="102"/>
      <c r="N247" s="102"/>
    </row>
    <row r="248" spans="1:14">
      <c r="A248" s="101"/>
      <c r="I248" s="102"/>
      <c r="J248" s="103"/>
      <c r="K248" s="75"/>
      <c r="L248" s="75"/>
      <c r="M248" s="102"/>
      <c r="N248" s="102"/>
    </row>
    <row r="249" spans="1:14">
      <c r="A249" s="101"/>
      <c r="I249" s="102"/>
      <c r="J249" s="103"/>
      <c r="K249" s="75"/>
      <c r="L249" s="75"/>
      <c r="M249" s="102"/>
      <c r="N249" s="102"/>
    </row>
    <row r="250" spans="1:14">
      <c r="A250" s="101"/>
      <c r="I250" s="102"/>
      <c r="J250" s="103"/>
      <c r="K250" s="75"/>
      <c r="L250" s="75"/>
      <c r="M250" s="102"/>
      <c r="N250" s="102"/>
    </row>
    <row r="251" spans="1:14">
      <c r="A251" s="101"/>
      <c r="I251" s="102"/>
      <c r="J251" s="103"/>
      <c r="K251" s="75"/>
      <c r="L251" s="75"/>
      <c r="M251" s="102"/>
      <c r="N251" s="102"/>
    </row>
    <row r="252" spans="1:14">
      <c r="A252" s="101"/>
      <c r="I252" s="102"/>
      <c r="J252" s="103"/>
      <c r="K252" s="75"/>
      <c r="L252" s="75"/>
      <c r="M252" s="102"/>
      <c r="N252" s="102"/>
    </row>
    <row r="253" spans="1:14">
      <c r="A253" s="101"/>
      <c r="I253" s="102"/>
      <c r="J253" s="103"/>
      <c r="K253" s="75"/>
      <c r="L253" s="75"/>
      <c r="M253" s="102"/>
      <c r="N253" s="102"/>
    </row>
    <row r="254" spans="1:14">
      <c r="A254" s="101"/>
      <c r="I254" s="102"/>
      <c r="J254" s="103"/>
      <c r="K254" s="75"/>
      <c r="L254" s="75"/>
      <c r="M254" s="102"/>
      <c r="N254" s="102"/>
    </row>
    <row r="255" spans="1:14">
      <c r="A255" s="101"/>
      <c r="I255" s="102"/>
      <c r="J255" s="103"/>
      <c r="K255" s="75"/>
      <c r="L255" s="75"/>
      <c r="M255" s="102"/>
      <c r="N255" s="102"/>
    </row>
    <row r="256" spans="1:14">
      <c r="A256" s="101"/>
      <c r="I256" s="102"/>
      <c r="J256" s="103"/>
      <c r="K256" s="75"/>
      <c r="L256" s="75"/>
      <c r="M256" s="102"/>
      <c r="N256" s="102"/>
    </row>
    <row r="257" spans="1:14">
      <c r="A257" s="101"/>
      <c r="I257" s="102"/>
      <c r="J257" s="103"/>
      <c r="K257" s="75"/>
      <c r="L257" s="75"/>
      <c r="M257" s="102"/>
      <c r="N257" s="102"/>
    </row>
    <row r="258" spans="1:14">
      <c r="A258" s="101"/>
      <c r="I258" s="102"/>
      <c r="J258" s="103"/>
      <c r="K258" s="75"/>
      <c r="L258" s="75"/>
      <c r="M258" s="102"/>
      <c r="N258" s="102"/>
    </row>
    <row r="259" spans="1:14">
      <c r="A259" s="101"/>
      <c r="I259" s="102"/>
      <c r="J259" s="103"/>
      <c r="K259" s="75"/>
      <c r="L259" s="75"/>
      <c r="M259" s="102"/>
      <c r="N259" s="102"/>
    </row>
    <row r="260" spans="1:14">
      <c r="A260" s="101"/>
      <c r="I260" s="102"/>
      <c r="J260" s="103"/>
      <c r="K260" s="75"/>
      <c r="L260" s="75"/>
      <c r="M260" s="102"/>
      <c r="N260" s="102"/>
    </row>
    <row r="261" spans="1:14">
      <c r="A261" s="101"/>
      <c r="I261" s="102"/>
      <c r="J261" s="103"/>
      <c r="K261" s="75"/>
      <c r="L261" s="75"/>
      <c r="M261" s="102"/>
      <c r="N261" s="102"/>
    </row>
    <row r="262" spans="1:14">
      <c r="A262" s="101"/>
      <c r="I262" s="102"/>
      <c r="J262" s="103"/>
      <c r="K262" s="75"/>
      <c r="L262" s="75"/>
      <c r="M262" s="102"/>
      <c r="N262" s="102"/>
    </row>
    <row r="263" spans="1:14">
      <c r="A263" s="101"/>
      <c r="I263" s="102"/>
      <c r="J263" s="103"/>
      <c r="K263" s="75"/>
      <c r="L263" s="75"/>
      <c r="M263" s="102"/>
      <c r="N263" s="102"/>
    </row>
    <row r="264" spans="1:14">
      <c r="A264" s="101"/>
      <c r="I264" s="102"/>
      <c r="J264" s="103"/>
      <c r="K264" s="75"/>
      <c r="L264" s="75"/>
      <c r="M264" s="102"/>
      <c r="N264" s="102"/>
    </row>
    <row r="265" spans="1:14">
      <c r="A265" s="101"/>
      <c r="I265" s="102"/>
      <c r="J265" s="103"/>
      <c r="K265" s="75"/>
      <c r="L265" s="75"/>
      <c r="M265" s="102"/>
      <c r="N265" s="102"/>
    </row>
    <row r="266" spans="1:14">
      <c r="A266" s="101"/>
      <c r="I266" s="102"/>
      <c r="J266" s="103"/>
      <c r="K266" s="75"/>
      <c r="L266" s="75"/>
      <c r="M266" s="102"/>
      <c r="N266" s="102"/>
    </row>
    <row r="267" spans="1:14">
      <c r="A267" s="101"/>
      <c r="I267" s="102"/>
      <c r="J267" s="103"/>
      <c r="K267" s="75"/>
      <c r="L267" s="75"/>
      <c r="M267" s="102"/>
      <c r="N267" s="102"/>
    </row>
    <row r="268" spans="1:14">
      <c r="A268" s="101"/>
      <c r="I268" s="102"/>
      <c r="J268" s="103"/>
      <c r="K268" s="75"/>
      <c r="L268" s="75"/>
      <c r="M268" s="102"/>
      <c r="N268" s="102"/>
    </row>
    <row r="269" spans="1:14">
      <c r="A269" s="101"/>
      <c r="I269" s="102"/>
      <c r="J269" s="103"/>
      <c r="K269" s="75"/>
      <c r="L269" s="75"/>
      <c r="M269" s="102"/>
      <c r="N269" s="102"/>
    </row>
    <row r="270" spans="1:14">
      <c r="A270" s="101"/>
      <c r="I270" s="102"/>
      <c r="J270" s="103"/>
      <c r="K270" s="75"/>
      <c r="L270" s="75"/>
      <c r="M270" s="102"/>
      <c r="N270" s="102"/>
    </row>
    <row r="271" spans="1:14">
      <c r="A271" s="101"/>
      <c r="I271" s="102"/>
      <c r="J271" s="103"/>
      <c r="K271" s="75"/>
      <c r="L271" s="75"/>
      <c r="M271" s="102"/>
      <c r="N271" s="102"/>
    </row>
    <row r="272" spans="1:14">
      <c r="A272" s="101"/>
      <c r="I272" s="102"/>
      <c r="J272" s="103"/>
      <c r="K272" s="75"/>
      <c r="L272" s="75"/>
      <c r="M272" s="102"/>
      <c r="N272" s="102"/>
    </row>
    <row r="273" spans="1:14">
      <c r="A273" s="101"/>
      <c r="I273" s="102"/>
      <c r="J273" s="103"/>
      <c r="K273" s="75"/>
      <c r="L273" s="75"/>
      <c r="M273" s="102"/>
      <c r="N273" s="102"/>
    </row>
    <row r="274" spans="1:14">
      <c r="A274" s="101"/>
      <c r="I274" s="102"/>
      <c r="J274" s="103"/>
      <c r="K274" s="75"/>
      <c r="L274" s="75"/>
      <c r="M274" s="102"/>
      <c r="N274" s="102"/>
    </row>
    <row r="275" spans="1:14">
      <c r="A275" s="101"/>
      <c r="I275" s="102"/>
      <c r="J275" s="103"/>
      <c r="K275" s="75"/>
      <c r="L275" s="75"/>
      <c r="M275" s="102"/>
      <c r="N275" s="102"/>
    </row>
    <row r="276" spans="1:14">
      <c r="A276" s="101"/>
      <c r="I276" s="102"/>
      <c r="J276" s="103"/>
      <c r="K276" s="75"/>
      <c r="L276" s="75"/>
      <c r="M276" s="102"/>
      <c r="N276" s="102"/>
    </row>
    <row r="277" spans="1:14">
      <c r="A277" s="101"/>
      <c r="I277" s="102"/>
      <c r="J277" s="103"/>
      <c r="K277" s="75"/>
      <c r="L277" s="75"/>
      <c r="M277" s="102"/>
      <c r="N277" s="102"/>
    </row>
    <row r="278" spans="1:14">
      <c r="A278" s="101"/>
      <c r="I278" s="102"/>
      <c r="J278" s="103"/>
      <c r="K278" s="75"/>
      <c r="L278" s="75"/>
      <c r="M278" s="102"/>
      <c r="N278" s="102"/>
    </row>
    <row r="279" spans="1:14">
      <c r="A279" s="101"/>
      <c r="I279" s="102"/>
      <c r="J279" s="103"/>
      <c r="K279" s="75"/>
      <c r="L279" s="75"/>
      <c r="M279" s="102"/>
      <c r="N279" s="102"/>
    </row>
    <row r="280" spans="1:14">
      <c r="A280" s="101"/>
      <c r="I280" s="102"/>
      <c r="J280" s="103"/>
      <c r="K280" s="75"/>
      <c r="L280" s="75"/>
      <c r="M280" s="102"/>
      <c r="N280" s="102"/>
    </row>
    <row r="281" spans="1:14">
      <c r="A281" s="101"/>
      <c r="I281" s="102"/>
      <c r="J281" s="103"/>
      <c r="K281" s="75"/>
      <c r="L281" s="75"/>
      <c r="M281" s="102"/>
      <c r="N281" s="102"/>
    </row>
    <row r="282" spans="1:14">
      <c r="A282" s="101"/>
      <c r="I282" s="102"/>
      <c r="J282" s="103"/>
      <c r="K282" s="75"/>
      <c r="L282" s="75"/>
      <c r="M282" s="102"/>
      <c r="N282" s="102"/>
    </row>
    <row r="283" spans="1:14">
      <c r="A283" s="101"/>
      <c r="I283" s="102"/>
      <c r="J283" s="103"/>
      <c r="K283" s="75"/>
      <c r="L283" s="75"/>
      <c r="M283" s="102"/>
      <c r="N283" s="102"/>
    </row>
    <row r="284" spans="1:14">
      <c r="A284" s="101"/>
      <c r="I284" s="102"/>
      <c r="J284" s="103"/>
      <c r="K284" s="75"/>
      <c r="L284" s="75"/>
      <c r="M284" s="102"/>
      <c r="N284" s="102"/>
    </row>
    <row r="285" spans="1:14">
      <c r="A285" s="101"/>
      <c r="I285" s="102"/>
      <c r="J285" s="103"/>
      <c r="K285" s="75"/>
      <c r="L285" s="75"/>
      <c r="M285" s="102"/>
      <c r="N285" s="102"/>
    </row>
    <row r="286" spans="1:14">
      <c r="A286" s="101"/>
      <c r="I286" s="102"/>
      <c r="J286" s="103"/>
      <c r="K286" s="75"/>
      <c r="L286" s="75"/>
      <c r="M286" s="102"/>
      <c r="N286" s="102"/>
    </row>
    <row r="287" spans="1:14">
      <c r="A287" s="101"/>
      <c r="I287" s="102"/>
      <c r="J287" s="103"/>
      <c r="K287" s="75"/>
      <c r="L287" s="75"/>
      <c r="M287" s="102"/>
      <c r="N287" s="102"/>
    </row>
    <row r="288" spans="1:14">
      <c r="A288" s="101"/>
      <c r="I288" s="102"/>
      <c r="J288" s="103"/>
      <c r="K288" s="75"/>
      <c r="L288" s="75"/>
      <c r="M288" s="102"/>
      <c r="N288" s="102"/>
    </row>
    <row r="289" spans="1:14">
      <c r="A289" s="101"/>
      <c r="I289" s="102"/>
      <c r="J289" s="103"/>
      <c r="K289" s="75"/>
      <c r="L289" s="75"/>
      <c r="M289" s="102"/>
      <c r="N289" s="102"/>
    </row>
    <row r="290" spans="1:14">
      <c r="A290" s="101"/>
      <c r="I290" s="102"/>
      <c r="J290" s="103"/>
      <c r="K290" s="75"/>
      <c r="L290" s="75"/>
      <c r="M290" s="102"/>
      <c r="N290" s="102"/>
    </row>
    <row r="291" spans="1:14">
      <c r="A291" s="101"/>
      <c r="I291" s="102"/>
      <c r="J291" s="103"/>
      <c r="K291" s="75"/>
      <c r="L291" s="75"/>
      <c r="M291" s="102"/>
      <c r="N291" s="102"/>
    </row>
    <row r="292" spans="1:14">
      <c r="A292" s="101"/>
      <c r="I292" s="102"/>
      <c r="J292" s="103"/>
      <c r="K292" s="75"/>
      <c r="L292" s="75"/>
      <c r="M292" s="102"/>
      <c r="N292" s="102"/>
    </row>
    <row r="293" spans="1:14">
      <c r="A293" s="101"/>
      <c r="I293" s="102"/>
      <c r="J293" s="103"/>
      <c r="K293" s="75"/>
      <c r="L293" s="75"/>
      <c r="M293" s="102"/>
      <c r="N293" s="102"/>
    </row>
    <row r="294" spans="1:14">
      <c r="A294" s="101"/>
      <c r="I294" s="102"/>
      <c r="J294" s="103"/>
      <c r="K294" s="75"/>
      <c r="L294" s="75"/>
      <c r="M294" s="102"/>
      <c r="N294" s="102"/>
    </row>
    <row r="295" spans="1:14">
      <c r="A295" s="101"/>
      <c r="I295" s="102"/>
      <c r="J295" s="103"/>
      <c r="K295" s="75"/>
      <c r="L295" s="75"/>
      <c r="M295" s="102"/>
      <c r="N295" s="102"/>
    </row>
  </sheetData>
  <mergeCells count="4">
    <mergeCell ref="A3:J3"/>
    <mergeCell ref="A4:J4"/>
    <mergeCell ref="P14:Q14"/>
    <mergeCell ref="P23:S23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0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" x14ac:dyDescent="0"/>
  <sheetData/>
  <phoneticPr fontId="0" type="noConversion"/>
  <pageMargins left="0.78740157499999996" right="0.78740157499999996" top="0.984251969" bottom="0.984251969" header="0.4921259845" footer="0.492125984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convers.+compens.</vt:lpstr>
      <vt:lpstr>Recalculate Fibox values</vt:lpstr>
      <vt:lpstr>Tabelle3</vt:lpstr>
    </vt:vector>
  </TitlesOfParts>
  <Company>PreSens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Huber</dc:creator>
  <cp:lastModifiedBy>Rainer Sieger</cp:lastModifiedBy>
  <dcterms:created xsi:type="dcterms:W3CDTF">2005-07-08T08:28:11Z</dcterms:created>
  <dcterms:modified xsi:type="dcterms:W3CDTF">2013-11-10T21:12:39Z</dcterms:modified>
</cp:coreProperties>
</file>